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ngaip-my.sharepoint.com/personal/dede_eyesan_jengaip_com/Documents/Jenga Investment Partners/Front Office/Global Outperformers/2025 Articles/Mexican Airports/2026 Update/2026 Models/"/>
    </mc:Choice>
  </mc:AlternateContent>
  <xr:revisionPtr revIDLastSave="1354" documentId="14_{22C5D67C-4F72-FF44-9146-BF21B1DBF435}" xr6:coauthVersionLast="47" xr6:coauthVersionMax="47" xr10:uidLastSave="{3F1D5DAC-3E6E-2C4D-B4C6-4FE2B7B7F97F}"/>
  <bookViews>
    <workbookView xWindow="0" yWindow="0" windowWidth="38400" windowHeight="21600" xr2:uid="{4EF5B92F-BF5F-FD47-A1B2-8C8FB90FF758}"/>
  </bookViews>
  <sheets>
    <sheet name="2026 Valuation Model" sheetId="1" r:id="rId1"/>
  </sheets>
  <definedNames>
    <definedName name="_xlnm.Print_Titles" localSheetId="0">'2026 Valuation Model'!#REF!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52" i="1" l="1"/>
  <c r="Q352" i="1"/>
  <c r="P352" i="1"/>
  <c r="O352" i="1"/>
  <c r="R346" i="1"/>
  <c r="Q346" i="1"/>
  <c r="P346" i="1"/>
  <c r="O346" i="1"/>
  <c r="R171" i="1"/>
  <c r="Q171" i="1"/>
  <c r="P171" i="1"/>
  <c r="O171" i="1"/>
  <c r="R311" i="1" l="1"/>
  <c r="Q311" i="1"/>
  <c r="P311" i="1"/>
  <c r="O311" i="1"/>
  <c r="R213" i="1"/>
  <c r="Q213" i="1"/>
  <c r="P213" i="1"/>
  <c r="O213" i="1"/>
  <c r="R219" i="1"/>
  <c r="Q219" i="1"/>
  <c r="P219" i="1"/>
  <c r="O219" i="1"/>
  <c r="R225" i="1"/>
  <c r="Q225" i="1"/>
  <c r="P225" i="1"/>
  <c r="O225" i="1"/>
  <c r="R231" i="1"/>
  <c r="Q231" i="1"/>
  <c r="P231" i="1"/>
  <c r="O231" i="1"/>
  <c r="R248" i="1"/>
  <c r="Q248" i="1"/>
  <c r="P248" i="1"/>
  <c r="O248" i="1"/>
  <c r="R258" i="1"/>
  <c r="Q258" i="1"/>
  <c r="P258" i="1"/>
  <c r="O258" i="1"/>
  <c r="R253" i="1"/>
  <c r="Q253" i="1"/>
  <c r="P253" i="1"/>
  <c r="O253" i="1"/>
  <c r="R269" i="1"/>
  <c r="R205" i="1"/>
  <c r="Q205" i="1"/>
  <c r="P205" i="1"/>
  <c r="O205" i="1"/>
  <c r="R276" i="1"/>
  <c r="Q276" i="1"/>
  <c r="P276" i="1"/>
  <c r="O276" i="1"/>
  <c r="R273" i="1"/>
  <c r="Q273" i="1"/>
  <c r="P273" i="1"/>
  <c r="O273" i="1"/>
  <c r="C276" i="1"/>
  <c r="D276" i="1"/>
  <c r="E276" i="1"/>
  <c r="F276" i="1"/>
  <c r="G276" i="1"/>
  <c r="H276" i="1"/>
  <c r="I276" i="1"/>
  <c r="J276" i="1"/>
  <c r="K276" i="1"/>
  <c r="L276" i="1"/>
  <c r="M276" i="1"/>
  <c r="B276" i="1"/>
  <c r="R117" i="1"/>
  <c r="Q117" i="1"/>
  <c r="P117" i="1"/>
  <c r="O117" i="1"/>
  <c r="R129" i="1"/>
  <c r="Q129" i="1"/>
  <c r="P129" i="1"/>
  <c r="O129" i="1"/>
  <c r="R177" i="1"/>
  <c r="Q177" i="1"/>
  <c r="R198" i="1"/>
  <c r="Q198" i="1"/>
  <c r="P198" i="1"/>
  <c r="O198" i="1"/>
  <c r="C198" i="1"/>
  <c r="D198" i="1"/>
  <c r="E198" i="1"/>
  <c r="F198" i="1"/>
  <c r="G198" i="1"/>
  <c r="H198" i="1"/>
  <c r="I198" i="1"/>
  <c r="J198" i="1"/>
  <c r="K198" i="1"/>
  <c r="L198" i="1"/>
  <c r="M198" i="1"/>
  <c r="B198" i="1"/>
  <c r="R57" i="1"/>
  <c r="Q57" i="1"/>
  <c r="P57" i="1"/>
  <c r="O57" i="1"/>
  <c r="R59" i="1"/>
  <c r="Q59" i="1"/>
  <c r="P59" i="1"/>
  <c r="O59" i="1"/>
  <c r="R61" i="1"/>
  <c r="Q61" i="1"/>
  <c r="P61" i="1"/>
  <c r="O61" i="1"/>
  <c r="R63" i="1"/>
  <c r="Q63" i="1"/>
  <c r="P63" i="1"/>
  <c r="O63" i="1"/>
  <c r="R65" i="1"/>
  <c r="Q65" i="1"/>
  <c r="P65" i="1"/>
  <c r="O65" i="1"/>
  <c r="R30" i="1"/>
  <c r="Q30" i="1"/>
  <c r="P30" i="1"/>
  <c r="O30" i="1"/>
  <c r="I269" i="1" l="1"/>
  <c r="M269" i="1"/>
  <c r="L269" i="1"/>
  <c r="K269" i="1"/>
  <c r="R28" i="1"/>
  <c r="Q28" i="1"/>
  <c r="P28" i="1"/>
  <c r="O28" i="1"/>
  <c r="R23" i="1"/>
  <c r="Q23" i="1"/>
  <c r="P23" i="1"/>
  <c r="O23" i="1"/>
  <c r="R18" i="1"/>
  <c r="Q18" i="1"/>
  <c r="P18" i="1"/>
  <c r="O18" i="1"/>
  <c r="R13" i="1"/>
  <c r="Q13" i="1"/>
  <c r="P13" i="1"/>
  <c r="O13" i="1"/>
  <c r="R8" i="1"/>
  <c r="Q8" i="1"/>
  <c r="P8" i="1"/>
  <c r="O8" i="1"/>
  <c r="R3" i="1"/>
  <c r="Q3" i="1"/>
  <c r="P3" i="1"/>
  <c r="O3" i="1"/>
  <c r="C364" i="1" l="1"/>
  <c r="D364" i="1"/>
  <c r="E364" i="1"/>
  <c r="F364" i="1"/>
  <c r="G364" i="1"/>
  <c r="H364" i="1"/>
  <c r="J364" i="1"/>
  <c r="B364" i="1"/>
  <c r="I206" i="1"/>
  <c r="J206" i="1" s="1"/>
  <c r="K206" i="1" s="1"/>
  <c r="L206" i="1" s="1"/>
  <c r="M206" i="1" s="1"/>
  <c r="H361" i="1"/>
  <c r="I348" i="1"/>
  <c r="J348" i="1" s="1"/>
  <c r="K348" i="1" s="1"/>
  <c r="L348" i="1" s="1"/>
  <c r="M348" i="1" s="1"/>
  <c r="I338" i="1"/>
  <c r="J338" i="1" s="1"/>
  <c r="K338" i="1" s="1"/>
  <c r="L338" i="1" s="1"/>
  <c r="M338" i="1" s="1"/>
  <c r="I342" i="1"/>
  <c r="J342" i="1" s="1"/>
  <c r="K342" i="1" s="1"/>
  <c r="L342" i="1" s="1"/>
  <c r="M342" i="1" s="1"/>
  <c r="I341" i="1"/>
  <c r="J341" i="1" s="1"/>
  <c r="K341" i="1" s="1"/>
  <c r="L341" i="1" s="1"/>
  <c r="M341" i="1" s="1"/>
  <c r="I339" i="1"/>
  <c r="I340" i="1"/>
  <c r="J340" i="1" s="1"/>
  <c r="K340" i="1" s="1"/>
  <c r="L340" i="1" s="1"/>
  <c r="M340" i="1" s="1"/>
  <c r="I337" i="1"/>
  <c r="J337" i="1" s="1"/>
  <c r="K337" i="1" s="1"/>
  <c r="L337" i="1" s="1"/>
  <c r="M337" i="1" s="1"/>
  <c r="I336" i="1"/>
  <c r="J336" i="1" s="1"/>
  <c r="K336" i="1" s="1"/>
  <c r="L336" i="1" s="1"/>
  <c r="M336" i="1" s="1"/>
  <c r="I332" i="1"/>
  <c r="J332" i="1" s="1"/>
  <c r="I331" i="1"/>
  <c r="J331" i="1" s="1"/>
  <c r="K331" i="1" s="1"/>
  <c r="L331" i="1" s="1"/>
  <c r="M331" i="1" s="1"/>
  <c r="I309" i="1"/>
  <c r="J309" i="1" s="1"/>
  <c r="K309" i="1" s="1"/>
  <c r="L309" i="1" s="1"/>
  <c r="M309" i="1" s="1"/>
  <c r="I298" i="1"/>
  <c r="J298" i="1" s="1"/>
  <c r="K298" i="1" s="1"/>
  <c r="L298" i="1" s="1"/>
  <c r="M298" i="1" s="1"/>
  <c r="I290" i="1"/>
  <c r="J290" i="1" s="1"/>
  <c r="K290" i="1" s="1"/>
  <c r="L290" i="1" s="1"/>
  <c r="M290" i="1" s="1"/>
  <c r="M289" i="1" s="1"/>
  <c r="K332" i="1" l="1"/>
  <c r="L332" i="1" s="1"/>
  <c r="M332" i="1" s="1"/>
  <c r="I289" i="1"/>
  <c r="L289" i="1"/>
  <c r="K289" i="1"/>
  <c r="J289" i="1"/>
  <c r="I327" i="1" l="1"/>
  <c r="J327" i="1" s="1"/>
  <c r="K327" i="1" s="1"/>
  <c r="L327" i="1" s="1"/>
  <c r="M327" i="1" s="1"/>
  <c r="I325" i="1"/>
  <c r="J325" i="1" s="1"/>
  <c r="K325" i="1" s="1"/>
  <c r="L325" i="1" s="1"/>
  <c r="M325" i="1" s="1"/>
  <c r="I324" i="1"/>
  <c r="J324" i="1" s="1"/>
  <c r="K324" i="1" s="1"/>
  <c r="L324" i="1" s="1"/>
  <c r="M324" i="1" s="1"/>
  <c r="C292" i="1" l="1"/>
  <c r="D292" i="1"/>
  <c r="E292" i="1"/>
  <c r="F292" i="1"/>
  <c r="G292" i="1"/>
  <c r="H292" i="1"/>
  <c r="B292" i="1"/>
  <c r="H291" i="1"/>
  <c r="G291" i="1"/>
  <c r="F291" i="1"/>
  <c r="E291" i="1"/>
  <c r="D291" i="1"/>
  <c r="C291" i="1"/>
  <c r="B294" i="1"/>
  <c r="C294" i="1"/>
  <c r="D294" i="1"/>
  <c r="E294" i="1"/>
  <c r="F294" i="1"/>
  <c r="G294" i="1"/>
  <c r="H294" i="1"/>
  <c r="I263" i="1"/>
  <c r="J263" i="1" s="1"/>
  <c r="K263" i="1" s="1"/>
  <c r="L263" i="1" s="1"/>
  <c r="M263" i="1" s="1"/>
  <c r="I237" i="1"/>
  <c r="J237" i="1" s="1"/>
  <c r="K237" i="1" s="1"/>
  <c r="L237" i="1" s="1"/>
  <c r="M237" i="1" s="1"/>
  <c r="I258" i="1"/>
  <c r="J258" i="1" s="1"/>
  <c r="K258" i="1" s="1"/>
  <c r="L258" i="1" s="1"/>
  <c r="M258" i="1" s="1"/>
  <c r="C278" i="1"/>
  <c r="D278" i="1"/>
  <c r="E278" i="1"/>
  <c r="F278" i="1"/>
  <c r="G278" i="1"/>
  <c r="H278" i="1"/>
  <c r="I278" i="1"/>
  <c r="J278" i="1"/>
  <c r="K278" i="1"/>
  <c r="L278" i="1"/>
  <c r="M278" i="1"/>
  <c r="B278" i="1"/>
  <c r="I225" i="1"/>
  <c r="J225" i="1" s="1"/>
  <c r="K225" i="1" s="1"/>
  <c r="L225" i="1" s="1"/>
  <c r="M225" i="1" s="1"/>
  <c r="I231" i="1"/>
  <c r="I219" i="1"/>
  <c r="J219" i="1" s="1"/>
  <c r="K219" i="1" s="1"/>
  <c r="L219" i="1" s="1"/>
  <c r="M219" i="1" s="1"/>
  <c r="I244" i="1"/>
  <c r="I253" i="1"/>
  <c r="C273" i="1"/>
  <c r="D273" i="1"/>
  <c r="E273" i="1"/>
  <c r="F273" i="1"/>
  <c r="G273" i="1"/>
  <c r="H273" i="1"/>
  <c r="B273" i="1"/>
  <c r="I213" i="1"/>
  <c r="J213" i="1" s="1"/>
  <c r="I188" i="1"/>
  <c r="J188" i="1" s="1"/>
  <c r="K188" i="1" s="1"/>
  <c r="L188" i="1" s="1"/>
  <c r="M188" i="1" s="1"/>
  <c r="I177" i="1"/>
  <c r="J177" i="1" s="1"/>
  <c r="K177" i="1" s="1"/>
  <c r="L177" i="1" s="1"/>
  <c r="M177" i="1" s="1"/>
  <c r="P141" i="1"/>
  <c r="O141" i="1"/>
  <c r="P135" i="1"/>
  <c r="O135" i="1"/>
  <c r="P75" i="1"/>
  <c r="O75" i="1"/>
  <c r="P69" i="1"/>
  <c r="O69" i="1"/>
  <c r="I59" i="1"/>
  <c r="J59" i="1" s="1"/>
  <c r="K59" i="1" s="1"/>
  <c r="L59" i="1" s="1"/>
  <c r="M59" i="1" s="1"/>
  <c r="I52" i="1"/>
  <c r="J52" i="1" s="1"/>
  <c r="K52" i="1" s="1"/>
  <c r="L52" i="1" s="1"/>
  <c r="M52" i="1" s="1"/>
  <c r="P52" i="1"/>
  <c r="O52" i="1"/>
  <c r="P33" i="1"/>
  <c r="O33" i="1"/>
  <c r="P39" i="1"/>
  <c r="O39" i="1"/>
  <c r="P36" i="1"/>
  <c r="O36" i="1"/>
  <c r="P42" i="1"/>
  <c r="O42" i="1"/>
  <c r="I33" i="1"/>
  <c r="J33" i="1" s="1"/>
  <c r="K33" i="1" s="1"/>
  <c r="L33" i="1" s="1"/>
  <c r="M33" i="1" s="1"/>
  <c r="R33" i="1" s="1"/>
  <c r="I39" i="1"/>
  <c r="J39" i="1" s="1"/>
  <c r="K39" i="1" s="1"/>
  <c r="L39" i="1" s="1"/>
  <c r="M39" i="1" s="1"/>
  <c r="R39" i="1" s="1"/>
  <c r="I42" i="1"/>
  <c r="I36" i="1"/>
  <c r="J36" i="1" s="1"/>
  <c r="K36" i="1" s="1"/>
  <c r="L36" i="1" s="1"/>
  <c r="M36" i="1" s="1"/>
  <c r="R36" i="1" s="1"/>
  <c r="J279" i="1" l="1"/>
  <c r="C295" i="1"/>
  <c r="B296" i="1"/>
  <c r="G295" i="1"/>
  <c r="F295" i="1"/>
  <c r="J253" i="1"/>
  <c r="J326" i="1" s="1"/>
  <c r="I326" i="1"/>
  <c r="H296" i="1"/>
  <c r="I294" i="1"/>
  <c r="C296" i="1"/>
  <c r="G296" i="1"/>
  <c r="F296" i="1"/>
  <c r="E295" i="1"/>
  <c r="E296" i="1"/>
  <c r="D295" i="1"/>
  <c r="D296" i="1"/>
  <c r="H295" i="1"/>
  <c r="M279" i="1"/>
  <c r="L279" i="1"/>
  <c r="K279" i="1"/>
  <c r="I279" i="1"/>
  <c r="K253" i="1"/>
  <c r="K326" i="1" s="1"/>
  <c r="J231" i="1"/>
  <c r="K213" i="1"/>
  <c r="J193" i="1"/>
  <c r="J269" i="1" s="1"/>
  <c r="R52" i="1"/>
  <c r="Q52" i="1"/>
  <c r="Q39" i="1"/>
  <c r="Q36" i="1"/>
  <c r="Q33" i="1"/>
  <c r="J42" i="1"/>
  <c r="H53" i="1"/>
  <c r="G53" i="1"/>
  <c r="F53" i="1"/>
  <c r="E53" i="1"/>
  <c r="D53" i="1"/>
  <c r="C53" i="1"/>
  <c r="J294" i="1" l="1"/>
  <c r="I293" i="1"/>
  <c r="J270" i="1"/>
  <c r="K231" i="1"/>
  <c r="L253" i="1"/>
  <c r="L326" i="1" s="1"/>
  <c r="L213" i="1"/>
  <c r="K193" i="1"/>
  <c r="K42" i="1"/>
  <c r="I299" i="1" l="1"/>
  <c r="I330" i="1"/>
  <c r="K294" i="1"/>
  <c r="J293" i="1"/>
  <c r="L231" i="1"/>
  <c r="K270" i="1"/>
  <c r="M253" i="1"/>
  <c r="M326" i="1" s="1"/>
  <c r="M213" i="1"/>
  <c r="L193" i="1"/>
  <c r="L42" i="1"/>
  <c r="J299" i="1" l="1"/>
  <c r="J330" i="1"/>
  <c r="L294" i="1"/>
  <c r="K293" i="1"/>
  <c r="L270" i="1"/>
  <c r="M231" i="1"/>
  <c r="M193" i="1"/>
  <c r="M42" i="1"/>
  <c r="K299" i="1" l="1"/>
  <c r="K330" i="1"/>
  <c r="M294" i="1"/>
  <c r="L293" i="1"/>
  <c r="M270" i="1"/>
  <c r="R42" i="1"/>
  <c r="Q42" i="1"/>
  <c r="L299" i="1" l="1"/>
  <c r="L330" i="1"/>
  <c r="M293" i="1"/>
  <c r="G361" i="1"/>
  <c r="F361" i="1"/>
  <c r="E361" i="1"/>
  <c r="C361" i="1"/>
  <c r="B361" i="1"/>
  <c r="D359" i="1"/>
  <c r="D361" i="1" s="1"/>
  <c r="H333" i="1"/>
  <c r="G333" i="1"/>
  <c r="F333" i="1"/>
  <c r="E333" i="1"/>
  <c r="D333" i="1"/>
  <c r="C333" i="1"/>
  <c r="B333" i="1"/>
  <c r="H328" i="1"/>
  <c r="G328" i="1"/>
  <c r="F328" i="1"/>
  <c r="E328" i="1"/>
  <c r="B328" i="1"/>
  <c r="H326" i="1"/>
  <c r="G326" i="1"/>
  <c r="F326" i="1"/>
  <c r="E326" i="1"/>
  <c r="D326" i="1"/>
  <c r="C326" i="1"/>
  <c r="B326" i="1"/>
  <c r="H319" i="1"/>
  <c r="G319" i="1"/>
  <c r="F319" i="1"/>
  <c r="E319" i="1"/>
  <c r="D319" i="1"/>
  <c r="H310" i="1"/>
  <c r="G310" i="1"/>
  <c r="F310" i="1"/>
  <c r="E310" i="1"/>
  <c r="D310" i="1"/>
  <c r="C310" i="1"/>
  <c r="D301" i="1"/>
  <c r="D328" i="1" s="1"/>
  <c r="C301" i="1"/>
  <c r="C328" i="1" s="1"/>
  <c r="H299" i="1"/>
  <c r="G299" i="1"/>
  <c r="F299" i="1"/>
  <c r="E299" i="1"/>
  <c r="D299" i="1"/>
  <c r="C299" i="1"/>
  <c r="B299" i="1"/>
  <c r="H279" i="1"/>
  <c r="G279" i="1"/>
  <c r="F279" i="1"/>
  <c r="E279" i="1"/>
  <c r="D279" i="1"/>
  <c r="C279" i="1"/>
  <c r="H260" i="1"/>
  <c r="G255" i="1"/>
  <c r="E265" i="1"/>
  <c r="D215" i="1"/>
  <c r="C280" i="1"/>
  <c r="B280" i="1"/>
  <c r="H264" i="1"/>
  <c r="G264" i="1"/>
  <c r="F264" i="1"/>
  <c r="E264" i="1"/>
  <c r="D264" i="1"/>
  <c r="C264" i="1"/>
  <c r="H259" i="1"/>
  <c r="G259" i="1"/>
  <c r="F259" i="1"/>
  <c r="E259" i="1"/>
  <c r="D259" i="1"/>
  <c r="C259" i="1"/>
  <c r="H254" i="1"/>
  <c r="G254" i="1"/>
  <c r="F254" i="1"/>
  <c r="E254" i="1"/>
  <c r="D254" i="1"/>
  <c r="C254" i="1"/>
  <c r="H249" i="1"/>
  <c r="G249" i="1"/>
  <c r="F249" i="1"/>
  <c r="E249" i="1"/>
  <c r="D249" i="1"/>
  <c r="C249" i="1"/>
  <c r="H244" i="1"/>
  <c r="G244" i="1"/>
  <c r="F244" i="1"/>
  <c r="E244" i="1"/>
  <c r="D244" i="1"/>
  <c r="C244" i="1"/>
  <c r="H238" i="1"/>
  <c r="G238" i="1"/>
  <c r="F238" i="1"/>
  <c r="E238" i="1"/>
  <c r="D238" i="1"/>
  <c r="C238" i="1"/>
  <c r="H232" i="1"/>
  <c r="G232" i="1"/>
  <c r="F232" i="1"/>
  <c r="E232" i="1"/>
  <c r="D232" i="1"/>
  <c r="C232" i="1"/>
  <c r="H226" i="1"/>
  <c r="G226" i="1"/>
  <c r="F226" i="1"/>
  <c r="E226" i="1"/>
  <c r="D226" i="1"/>
  <c r="C226" i="1"/>
  <c r="H220" i="1"/>
  <c r="G220" i="1"/>
  <c r="F220" i="1"/>
  <c r="E220" i="1"/>
  <c r="D220" i="1"/>
  <c r="C220" i="1"/>
  <c r="H214" i="1"/>
  <c r="G214" i="1"/>
  <c r="F214" i="1"/>
  <c r="E214" i="1"/>
  <c r="D214" i="1"/>
  <c r="C214" i="1"/>
  <c r="H207" i="1"/>
  <c r="G207" i="1"/>
  <c r="F207" i="1"/>
  <c r="E207" i="1"/>
  <c r="D207" i="1"/>
  <c r="C207" i="1"/>
  <c r="H189" i="1"/>
  <c r="G189" i="1"/>
  <c r="F189" i="1"/>
  <c r="E189" i="1"/>
  <c r="D189" i="1"/>
  <c r="C189" i="1"/>
  <c r="H182" i="1"/>
  <c r="H199" i="1" s="1"/>
  <c r="H119" i="1" s="1"/>
  <c r="G182" i="1"/>
  <c r="G199" i="1" s="1"/>
  <c r="G119" i="1" s="1"/>
  <c r="F182" i="1"/>
  <c r="F199" i="1" s="1"/>
  <c r="F119" i="1" s="1"/>
  <c r="E182" i="1"/>
  <c r="E199" i="1" s="1"/>
  <c r="E119" i="1" s="1"/>
  <c r="D182" i="1"/>
  <c r="D199" i="1" s="1"/>
  <c r="D119" i="1" s="1"/>
  <c r="C182" i="1"/>
  <c r="C199" i="1" s="1"/>
  <c r="C119" i="1" s="1"/>
  <c r="B182" i="1"/>
  <c r="H178" i="1"/>
  <c r="H171" i="1"/>
  <c r="G171" i="1"/>
  <c r="F171" i="1"/>
  <c r="E171" i="1"/>
  <c r="D171" i="1"/>
  <c r="C171" i="1"/>
  <c r="B171" i="1"/>
  <c r="H166" i="1"/>
  <c r="G166" i="1"/>
  <c r="F166" i="1"/>
  <c r="E166" i="1"/>
  <c r="D166" i="1"/>
  <c r="C166" i="1"/>
  <c r="H160" i="1"/>
  <c r="G160" i="1"/>
  <c r="F160" i="1"/>
  <c r="E160" i="1"/>
  <c r="D160" i="1"/>
  <c r="C160" i="1"/>
  <c r="H154" i="1"/>
  <c r="G154" i="1"/>
  <c r="F154" i="1"/>
  <c r="E154" i="1"/>
  <c r="D154" i="1"/>
  <c r="C154" i="1"/>
  <c r="H148" i="1"/>
  <c r="G148" i="1"/>
  <c r="F148" i="1"/>
  <c r="E148" i="1"/>
  <c r="D148" i="1"/>
  <c r="C148" i="1"/>
  <c r="H142" i="1"/>
  <c r="G142" i="1"/>
  <c r="F142" i="1"/>
  <c r="E142" i="1"/>
  <c r="D142" i="1"/>
  <c r="C142" i="1"/>
  <c r="H136" i="1"/>
  <c r="G136" i="1"/>
  <c r="F136" i="1"/>
  <c r="E136" i="1"/>
  <c r="D136" i="1"/>
  <c r="C136" i="1"/>
  <c r="H130" i="1"/>
  <c r="G130" i="1"/>
  <c r="F130" i="1"/>
  <c r="E130" i="1"/>
  <c r="D130" i="1"/>
  <c r="C130" i="1"/>
  <c r="H124" i="1"/>
  <c r="G124" i="1"/>
  <c r="F124" i="1"/>
  <c r="E124" i="1"/>
  <c r="D124" i="1"/>
  <c r="C124" i="1"/>
  <c r="H118" i="1"/>
  <c r="G118" i="1"/>
  <c r="F118" i="1"/>
  <c r="E118" i="1"/>
  <c r="D118" i="1"/>
  <c r="C118" i="1"/>
  <c r="H111" i="1"/>
  <c r="G111" i="1"/>
  <c r="G71" i="1" s="1"/>
  <c r="F111" i="1"/>
  <c r="F77" i="1" s="1"/>
  <c r="E111" i="1"/>
  <c r="E77" i="1" s="1"/>
  <c r="D111" i="1"/>
  <c r="D107" i="1" s="1"/>
  <c r="C111" i="1"/>
  <c r="C107" i="1" s="1"/>
  <c r="B111" i="1"/>
  <c r="B83" i="1" s="1"/>
  <c r="H106" i="1"/>
  <c r="G106" i="1"/>
  <c r="F106" i="1"/>
  <c r="E106" i="1"/>
  <c r="D106" i="1"/>
  <c r="C106" i="1"/>
  <c r="H100" i="1"/>
  <c r="G100" i="1"/>
  <c r="F100" i="1"/>
  <c r="E100" i="1"/>
  <c r="D100" i="1"/>
  <c r="C100" i="1"/>
  <c r="H94" i="1"/>
  <c r="G94" i="1"/>
  <c r="F94" i="1"/>
  <c r="E94" i="1"/>
  <c r="D94" i="1"/>
  <c r="C94" i="1"/>
  <c r="H88" i="1"/>
  <c r="G88" i="1"/>
  <c r="F88" i="1"/>
  <c r="E88" i="1"/>
  <c r="D88" i="1"/>
  <c r="C88" i="1"/>
  <c r="H82" i="1"/>
  <c r="G82" i="1"/>
  <c r="F82" i="1"/>
  <c r="E82" i="1"/>
  <c r="D82" i="1"/>
  <c r="C82" i="1"/>
  <c r="H76" i="1"/>
  <c r="G76" i="1"/>
  <c r="F76" i="1"/>
  <c r="E76" i="1"/>
  <c r="D76" i="1"/>
  <c r="C76" i="1"/>
  <c r="H70" i="1"/>
  <c r="G70" i="1"/>
  <c r="F70" i="1"/>
  <c r="E70" i="1"/>
  <c r="D70" i="1"/>
  <c r="C70" i="1"/>
  <c r="H63" i="1"/>
  <c r="I63" i="1" s="1"/>
  <c r="J63" i="1" s="1"/>
  <c r="K63" i="1" s="1"/>
  <c r="L63" i="1" s="1"/>
  <c r="M63" i="1" s="1"/>
  <c r="G63" i="1"/>
  <c r="F63" i="1"/>
  <c r="E63" i="1"/>
  <c r="D63" i="1"/>
  <c r="C63" i="1"/>
  <c r="B63" i="1"/>
  <c r="H61" i="1"/>
  <c r="G61" i="1"/>
  <c r="F61" i="1"/>
  <c r="E61" i="1"/>
  <c r="D61" i="1"/>
  <c r="C61" i="1"/>
  <c r="B61" i="1"/>
  <c r="H60" i="1"/>
  <c r="G60" i="1"/>
  <c r="F60" i="1"/>
  <c r="E60" i="1"/>
  <c r="D60" i="1"/>
  <c r="C60" i="1"/>
  <c r="H58" i="1"/>
  <c r="G58" i="1"/>
  <c r="F58" i="1"/>
  <c r="E58" i="1"/>
  <c r="D58" i="1"/>
  <c r="C58" i="1"/>
  <c r="H45" i="1"/>
  <c r="G45" i="1"/>
  <c r="F45" i="1"/>
  <c r="E45" i="1"/>
  <c r="E48" i="1" s="1"/>
  <c r="E38" i="1" s="1"/>
  <c r="D45" i="1"/>
  <c r="D48" i="1" s="1"/>
  <c r="D47" i="1" s="1"/>
  <c r="C45" i="1"/>
  <c r="C48" i="1" s="1"/>
  <c r="C41" i="1" s="1"/>
  <c r="B45" i="1"/>
  <c r="H43" i="1"/>
  <c r="G43" i="1"/>
  <c r="F43" i="1"/>
  <c r="E43" i="1"/>
  <c r="D43" i="1"/>
  <c r="C43" i="1"/>
  <c r="H37" i="1"/>
  <c r="G37" i="1"/>
  <c r="F37" i="1"/>
  <c r="E37" i="1"/>
  <c r="D37" i="1"/>
  <c r="C37" i="1"/>
  <c r="H40" i="1"/>
  <c r="G40" i="1"/>
  <c r="F40" i="1"/>
  <c r="E40" i="1"/>
  <c r="D40" i="1"/>
  <c r="C40" i="1"/>
  <c r="H34" i="1"/>
  <c r="E34" i="1"/>
  <c r="D34" i="1"/>
  <c r="C34" i="1"/>
  <c r="F33" i="1"/>
  <c r="F6" i="1" s="1"/>
  <c r="H23" i="1"/>
  <c r="G23" i="1"/>
  <c r="F23" i="1"/>
  <c r="E23" i="1"/>
  <c r="D23" i="1"/>
  <c r="C23" i="1"/>
  <c r="B23" i="1"/>
  <c r="H21" i="1"/>
  <c r="G21" i="1"/>
  <c r="F21" i="1"/>
  <c r="E21" i="1"/>
  <c r="D21" i="1"/>
  <c r="C21" i="1"/>
  <c r="B21" i="1"/>
  <c r="H19" i="1"/>
  <c r="G19" i="1"/>
  <c r="F19" i="1"/>
  <c r="E19" i="1"/>
  <c r="D19" i="1"/>
  <c r="C19" i="1"/>
  <c r="H16" i="1"/>
  <c r="G16" i="1"/>
  <c r="F16" i="1"/>
  <c r="E16" i="1"/>
  <c r="D16" i="1"/>
  <c r="C16" i="1"/>
  <c r="B16" i="1"/>
  <c r="H14" i="1"/>
  <c r="G14" i="1"/>
  <c r="F14" i="1"/>
  <c r="E14" i="1"/>
  <c r="D14" i="1"/>
  <c r="C14" i="1"/>
  <c r="H11" i="1"/>
  <c r="G11" i="1"/>
  <c r="F11" i="1"/>
  <c r="E11" i="1"/>
  <c r="D11" i="1"/>
  <c r="C11" i="1"/>
  <c r="B11" i="1"/>
  <c r="H9" i="1"/>
  <c r="G9" i="1"/>
  <c r="F9" i="1"/>
  <c r="E9" i="1"/>
  <c r="D9" i="1"/>
  <c r="C9" i="1"/>
  <c r="H6" i="1"/>
  <c r="G6" i="1"/>
  <c r="G7" i="1" s="1"/>
  <c r="E6" i="1"/>
  <c r="D6" i="1"/>
  <c r="C6" i="1"/>
  <c r="B6" i="1"/>
  <c r="H4" i="1"/>
  <c r="G4" i="1"/>
  <c r="F4" i="1"/>
  <c r="E4" i="1"/>
  <c r="D4" i="1"/>
  <c r="C4" i="1"/>
  <c r="M299" i="1" l="1"/>
  <c r="M330" i="1"/>
  <c r="G22" i="1"/>
  <c r="F22" i="1"/>
  <c r="D17" i="1"/>
  <c r="E7" i="1"/>
  <c r="E22" i="1"/>
  <c r="O21" i="1"/>
  <c r="I21" i="1"/>
  <c r="P21" i="1"/>
  <c r="I6" i="1"/>
  <c r="P6" i="1"/>
  <c r="O6" i="1"/>
  <c r="P16" i="1"/>
  <c r="O16" i="1"/>
  <c r="I16" i="1"/>
  <c r="I11" i="1"/>
  <c r="P11" i="1"/>
  <c r="O11" i="1"/>
  <c r="E17" i="1"/>
  <c r="H22" i="1"/>
  <c r="D22" i="1"/>
  <c r="C22" i="1"/>
  <c r="H7" i="1"/>
  <c r="H17" i="1"/>
  <c r="F17" i="1"/>
  <c r="C12" i="1"/>
  <c r="G17" i="1"/>
  <c r="C7" i="1"/>
  <c r="G12" i="1"/>
  <c r="D7" i="1"/>
  <c r="H12" i="1"/>
  <c r="C17" i="1"/>
  <c r="D12" i="1"/>
  <c r="F7" i="1"/>
  <c r="F12" i="1"/>
  <c r="E12" i="1"/>
  <c r="D250" i="1"/>
  <c r="D221" i="1"/>
  <c r="D233" i="1"/>
  <c r="D260" i="1"/>
  <c r="C233" i="1"/>
  <c r="C28" i="1"/>
  <c r="C20" i="1" s="1"/>
  <c r="B28" i="1"/>
  <c r="H28" i="1"/>
  <c r="B199" i="1"/>
  <c r="B265" i="1"/>
  <c r="H155" i="1"/>
  <c r="I182" i="1"/>
  <c r="P111" i="1"/>
  <c r="O111" i="1"/>
  <c r="G65" i="1"/>
  <c r="G103" i="1" s="1"/>
  <c r="F274" i="1"/>
  <c r="E233" i="1"/>
  <c r="F65" i="1"/>
  <c r="F235" i="1" s="1"/>
  <c r="C101" i="1"/>
  <c r="F172" i="1"/>
  <c r="B89" i="1"/>
  <c r="C71" i="1"/>
  <c r="C83" i="1"/>
  <c r="C89" i="1"/>
  <c r="C95" i="1"/>
  <c r="F64" i="1"/>
  <c r="D89" i="1"/>
  <c r="F46" i="1"/>
  <c r="B221" i="1"/>
  <c r="B227" i="1"/>
  <c r="H65" i="1"/>
  <c r="H280" i="1"/>
  <c r="C64" i="1"/>
  <c r="B101" i="1"/>
  <c r="B250" i="1"/>
  <c r="B255" i="1"/>
  <c r="H24" i="1"/>
  <c r="D46" i="1"/>
  <c r="B233" i="1"/>
  <c r="C62" i="1"/>
  <c r="E46" i="1"/>
  <c r="B215" i="1"/>
  <c r="H227" i="1"/>
  <c r="H255" i="1"/>
  <c r="E183" i="1"/>
  <c r="B239" i="1"/>
  <c r="C172" i="1"/>
  <c r="H62" i="1"/>
  <c r="B71" i="1"/>
  <c r="G183" i="1"/>
  <c r="B245" i="1"/>
  <c r="F260" i="1"/>
  <c r="G46" i="1"/>
  <c r="C65" i="1"/>
  <c r="C267" i="1" s="1"/>
  <c r="G233" i="1"/>
  <c r="C24" i="1"/>
  <c r="E64" i="1"/>
  <c r="G77" i="1"/>
  <c r="F183" i="1"/>
  <c r="G260" i="1"/>
  <c r="D64" i="1"/>
  <c r="E137" i="1"/>
  <c r="H131" i="1"/>
  <c r="H125" i="1"/>
  <c r="D112" i="1"/>
  <c r="F48" i="1"/>
  <c r="F41" i="1" s="1"/>
  <c r="B65" i="1"/>
  <c r="B103" i="1" s="1"/>
  <c r="F215" i="1"/>
  <c r="F245" i="1"/>
  <c r="G274" i="1"/>
  <c r="O45" i="1"/>
  <c r="I45" i="1"/>
  <c r="P45" i="1"/>
  <c r="G48" i="1"/>
  <c r="G41" i="1" s="1"/>
  <c r="D62" i="1"/>
  <c r="D83" i="1"/>
  <c r="B95" i="1"/>
  <c r="H184" i="1"/>
  <c r="G215" i="1"/>
  <c r="C221" i="1"/>
  <c r="G245" i="1"/>
  <c r="C250" i="1"/>
  <c r="E260" i="1"/>
  <c r="C281" i="1"/>
  <c r="D71" i="1"/>
  <c r="D101" i="1"/>
  <c r="G143" i="1"/>
  <c r="C227" i="1"/>
  <c r="C265" i="1"/>
  <c r="H26" i="1"/>
  <c r="G34" i="1"/>
  <c r="G64" i="1"/>
  <c r="C77" i="1"/>
  <c r="D172" i="1"/>
  <c r="C215" i="1"/>
  <c r="F227" i="1"/>
  <c r="D239" i="1"/>
  <c r="G250" i="1"/>
  <c r="C255" i="1"/>
  <c r="D265" i="1"/>
  <c r="B26" i="1"/>
  <c r="E221" i="1"/>
  <c r="E250" i="1"/>
  <c r="F34" i="1"/>
  <c r="B107" i="1"/>
  <c r="F221" i="1"/>
  <c r="C239" i="1"/>
  <c r="F250" i="1"/>
  <c r="D77" i="1"/>
  <c r="G227" i="1"/>
  <c r="E239" i="1"/>
  <c r="C245" i="1"/>
  <c r="B260" i="1"/>
  <c r="F265" i="1"/>
  <c r="C274" i="1"/>
  <c r="E215" i="1"/>
  <c r="E245" i="1"/>
  <c r="C260" i="1"/>
  <c r="H203" i="1"/>
  <c r="H95" i="1"/>
  <c r="H89" i="1"/>
  <c r="H83" i="1"/>
  <c r="H77" i="1"/>
  <c r="E24" i="1"/>
  <c r="E26" i="1"/>
  <c r="E28" i="1"/>
  <c r="E25" i="1" s="1"/>
  <c r="F26" i="1"/>
  <c r="F28" i="1"/>
  <c r="H112" i="1"/>
  <c r="G172" i="1"/>
  <c r="G26" i="1"/>
  <c r="G28" i="1"/>
  <c r="D38" i="1"/>
  <c r="H172" i="1"/>
  <c r="D41" i="1"/>
  <c r="C47" i="1"/>
  <c r="H107" i="1"/>
  <c r="C26" i="1"/>
  <c r="E107" i="1"/>
  <c r="E71" i="1"/>
  <c r="E112" i="1"/>
  <c r="E101" i="1"/>
  <c r="E95" i="1"/>
  <c r="E89" i="1"/>
  <c r="B48" i="1"/>
  <c r="C49" i="1" s="1"/>
  <c r="F24" i="1"/>
  <c r="H46" i="1"/>
  <c r="H48" i="1"/>
  <c r="F62" i="1"/>
  <c r="D65" i="1"/>
  <c r="H71" i="1"/>
  <c r="F107" i="1"/>
  <c r="F71" i="1"/>
  <c r="F112" i="1"/>
  <c r="F101" i="1"/>
  <c r="F95" i="1"/>
  <c r="F89" i="1"/>
  <c r="F83" i="1"/>
  <c r="H179" i="1"/>
  <c r="H167" i="1"/>
  <c r="H149" i="1"/>
  <c r="H190" i="1"/>
  <c r="H143" i="1"/>
  <c r="H137" i="1"/>
  <c r="H161" i="1"/>
  <c r="D24" i="1"/>
  <c r="D26" i="1"/>
  <c r="D49" i="1"/>
  <c r="D35" i="1"/>
  <c r="D54" i="1"/>
  <c r="D44" i="1"/>
  <c r="D28" i="1"/>
  <c r="D25" i="1" s="1"/>
  <c r="C38" i="1"/>
  <c r="C35" i="1"/>
  <c r="C54" i="1"/>
  <c r="C44" i="1"/>
  <c r="E49" i="1"/>
  <c r="E35" i="1"/>
  <c r="E54" i="1"/>
  <c r="E44" i="1"/>
  <c r="E41" i="1"/>
  <c r="E62" i="1"/>
  <c r="H101" i="1"/>
  <c r="E47" i="1"/>
  <c r="G24" i="1"/>
  <c r="C46" i="1"/>
  <c r="G62" i="1"/>
  <c r="H64" i="1"/>
  <c r="E65" i="1"/>
  <c r="E83" i="1"/>
  <c r="G89" i="1"/>
  <c r="G112" i="1"/>
  <c r="G107" i="1"/>
  <c r="G101" i="1"/>
  <c r="G95" i="1"/>
  <c r="G83" i="1"/>
  <c r="H173" i="1"/>
  <c r="H183" i="1"/>
  <c r="C203" i="1"/>
  <c r="C183" i="1"/>
  <c r="H265" i="1"/>
  <c r="H221" i="1"/>
  <c r="H250" i="1"/>
  <c r="H239" i="1"/>
  <c r="H215" i="1"/>
  <c r="H245" i="1"/>
  <c r="H274" i="1"/>
  <c r="B77" i="1"/>
  <c r="C112" i="1"/>
  <c r="H233" i="1"/>
  <c r="D95" i="1"/>
  <c r="F184" i="1"/>
  <c r="D183" i="1"/>
  <c r="D245" i="1"/>
  <c r="D274" i="1"/>
  <c r="D227" i="1"/>
  <c r="D280" i="1"/>
  <c r="E274" i="1"/>
  <c r="E227" i="1"/>
  <c r="E255" i="1"/>
  <c r="E280" i="1"/>
  <c r="F255" i="1"/>
  <c r="F239" i="1"/>
  <c r="F280" i="1"/>
  <c r="E172" i="1"/>
  <c r="F233" i="1"/>
  <c r="D255" i="1"/>
  <c r="G239" i="1"/>
  <c r="G265" i="1"/>
  <c r="G221" i="1"/>
  <c r="G280" i="1"/>
  <c r="B125" i="1" l="1"/>
  <c r="B119" i="1"/>
  <c r="G27" i="1"/>
  <c r="J11" i="1"/>
  <c r="I8" i="1"/>
  <c r="J21" i="1"/>
  <c r="I18" i="1"/>
  <c r="E27" i="1"/>
  <c r="I3" i="1"/>
  <c r="J6" i="1"/>
  <c r="H27" i="1"/>
  <c r="I26" i="1"/>
  <c r="P26" i="1"/>
  <c r="O26" i="1"/>
  <c r="J16" i="1"/>
  <c r="I13" i="1"/>
  <c r="C27" i="1"/>
  <c r="F27" i="1"/>
  <c r="D27" i="1"/>
  <c r="H30" i="1"/>
  <c r="H25" i="1"/>
  <c r="H15" i="1"/>
  <c r="C29" i="1"/>
  <c r="B161" i="1"/>
  <c r="B190" i="1"/>
  <c r="B10" i="1"/>
  <c r="C25" i="1"/>
  <c r="C5" i="1"/>
  <c r="C10" i="1"/>
  <c r="B203" i="1"/>
  <c r="H5" i="1"/>
  <c r="H29" i="1"/>
  <c r="B15" i="1"/>
  <c r="H10" i="1"/>
  <c r="H20" i="1"/>
  <c r="B143" i="1"/>
  <c r="B137" i="1"/>
  <c r="B131" i="1"/>
  <c r="B179" i="1"/>
  <c r="B5" i="1"/>
  <c r="C15" i="1"/>
  <c r="B20" i="1"/>
  <c r="B25" i="1"/>
  <c r="C30" i="1"/>
  <c r="B184" i="1"/>
  <c r="B155" i="1"/>
  <c r="B167" i="1"/>
  <c r="B173" i="1"/>
  <c r="B149" i="1"/>
  <c r="G252" i="1"/>
  <c r="G139" i="1"/>
  <c r="H114" i="1"/>
  <c r="G127" i="1"/>
  <c r="G186" i="1"/>
  <c r="G91" i="1"/>
  <c r="G257" i="1"/>
  <c r="G169" i="1"/>
  <c r="H139" i="1"/>
  <c r="I139" i="1" s="1"/>
  <c r="G241" i="1"/>
  <c r="G229" i="1"/>
  <c r="G73" i="1"/>
  <c r="J182" i="1"/>
  <c r="G163" i="1"/>
  <c r="G85" i="1"/>
  <c r="G145" i="1"/>
  <c r="G79" i="1"/>
  <c r="G151" i="1"/>
  <c r="P199" i="1"/>
  <c r="O199" i="1"/>
  <c r="G121" i="1"/>
  <c r="C217" i="1"/>
  <c r="G267" i="1"/>
  <c r="F247" i="1"/>
  <c r="F139" i="1"/>
  <c r="G109" i="1"/>
  <c r="G235" i="1"/>
  <c r="G236" i="1" s="1"/>
  <c r="G157" i="1"/>
  <c r="G175" i="1"/>
  <c r="G133" i="1"/>
  <c r="G223" i="1"/>
  <c r="G97" i="1"/>
  <c r="G262" i="1"/>
  <c r="G247" i="1"/>
  <c r="G217" i="1"/>
  <c r="G114" i="1"/>
  <c r="F114" i="1"/>
  <c r="F91" i="1"/>
  <c r="F145" i="1"/>
  <c r="F157" i="1"/>
  <c r="F103" i="1"/>
  <c r="G104" i="1" s="1"/>
  <c r="F79" i="1"/>
  <c r="F73" i="1"/>
  <c r="F97" i="1"/>
  <c r="F133" i="1"/>
  <c r="F262" i="1"/>
  <c r="F175" i="1"/>
  <c r="F257" i="1"/>
  <c r="F217" i="1"/>
  <c r="G66" i="1"/>
  <c r="F127" i="1"/>
  <c r="F163" i="1"/>
  <c r="F66" i="1"/>
  <c r="F252" i="1"/>
  <c r="F85" i="1"/>
  <c r="F121" i="1"/>
  <c r="F223" i="1"/>
  <c r="C241" i="1"/>
  <c r="C257" i="1"/>
  <c r="C145" i="1"/>
  <c r="G201" i="1"/>
  <c r="H121" i="1"/>
  <c r="I121" i="1" s="1"/>
  <c r="C114" i="1"/>
  <c r="G38" i="1"/>
  <c r="H127" i="1"/>
  <c r="I127" i="1" s="1"/>
  <c r="H91" i="1"/>
  <c r="B109" i="1"/>
  <c r="F151" i="1"/>
  <c r="F267" i="1"/>
  <c r="H145" i="1"/>
  <c r="C109" i="1"/>
  <c r="H133" i="1"/>
  <c r="I133" i="1" s="1"/>
  <c r="F186" i="1"/>
  <c r="F169" i="1"/>
  <c r="H262" i="1"/>
  <c r="C247" i="1"/>
  <c r="H247" i="1"/>
  <c r="F241" i="1"/>
  <c r="F229" i="1"/>
  <c r="F109" i="1"/>
  <c r="H186" i="1"/>
  <c r="E131" i="1"/>
  <c r="H281" i="1"/>
  <c r="C186" i="1"/>
  <c r="C175" i="1"/>
  <c r="H103" i="1"/>
  <c r="H223" i="1"/>
  <c r="D55" i="1"/>
  <c r="C252" i="1"/>
  <c r="H267" i="1"/>
  <c r="F44" i="1"/>
  <c r="H252" i="1"/>
  <c r="H66" i="1"/>
  <c r="H109" i="1"/>
  <c r="E184" i="1"/>
  <c r="G173" i="1"/>
  <c r="G179" i="1"/>
  <c r="E179" i="1"/>
  <c r="C127" i="1"/>
  <c r="C121" i="1"/>
  <c r="H201" i="1"/>
  <c r="E167" i="1"/>
  <c r="E200" i="1"/>
  <c r="G184" i="1"/>
  <c r="C262" i="1"/>
  <c r="E161" i="1"/>
  <c r="H235" i="1"/>
  <c r="H73" i="1"/>
  <c r="H241" i="1"/>
  <c r="G200" i="1"/>
  <c r="E125" i="1"/>
  <c r="G149" i="1"/>
  <c r="E203" i="1"/>
  <c r="C79" i="1"/>
  <c r="C235" i="1"/>
  <c r="E149" i="1"/>
  <c r="E155" i="1"/>
  <c r="H163" i="1"/>
  <c r="I163" i="1" s="1"/>
  <c r="H151" i="1"/>
  <c r="I151" i="1" s="1"/>
  <c r="H157" i="1"/>
  <c r="I157" i="1" s="1"/>
  <c r="E190" i="1"/>
  <c r="H85" i="1"/>
  <c r="E173" i="1"/>
  <c r="C157" i="1"/>
  <c r="H97" i="1"/>
  <c r="H79" i="1"/>
  <c r="G167" i="1"/>
  <c r="C85" i="1"/>
  <c r="C151" i="1"/>
  <c r="E143" i="1"/>
  <c r="H169" i="1"/>
  <c r="I169" i="1" s="1"/>
  <c r="H217" i="1"/>
  <c r="H229" i="1"/>
  <c r="H257" i="1"/>
  <c r="H175" i="1"/>
  <c r="G44" i="1"/>
  <c r="B252" i="1"/>
  <c r="B73" i="1"/>
  <c r="F54" i="1"/>
  <c r="F55" i="1" s="1"/>
  <c r="F203" i="1"/>
  <c r="G47" i="1"/>
  <c r="C73" i="1"/>
  <c r="C223" i="1"/>
  <c r="C133" i="1"/>
  <c r="B30" i="1"/>
  <c r="B262" i="1"/>
  <c r="H200" i="1"/>
  <c r="C91" i="1"/>
  <c r="G49" i="1"/>
  <c r="F49" i="1"/>
  <c r="B85" i="1"/>
  <c r="B235" i="1"/>
  <c r="C229" i="1"/>
  <c r="B139" i="1"/>
  <c r="B79" i="1"/>
  <c r="C163" i="1"/>
  <c r="C169" i="1"/>
  <c r="C103" i="1"/>
  <c r="C104" i="1" s="1"/>
  <c r="B145" i="1"/>
  <c r="B169" i="1"/>
  <c r="B241" i="1"/>
  <c r="B127" i="1"/>
  <c r="B186" i="1"/>
  <c r="G203" i="1"/>
  <c r="F47" i="1"/>
  <c r="C97" i="1"/>
  <c r="C139" i="1"/>
  <c r="B175" i="1"/>
  <c r="B223" i="1"/>
  <c r="D184" i="1"/>
  <c r="E55" i="1"/>
  <c r="P48" i="1"/>
  <c r="O48" i="1"/>
  <c r="B133" i="1"/>
  <c r="B201" i="1"/>
  <c r="B121" i="1"/>
  <c r="B267" i="1"/>
  <c r="G54" i="1"/>
  <c r="G35" i="1"/>
  <c r="D173" i="1"/>
  <c r="J45" i="1"/>
  <c r="I48" i="1"/>
  <c r="B91" i="1"/>
  <c r="B157" i="1"/>
  <c r="B257" i="1"/>
  <c r="F38" i="1"/>
  <c r="F35" i="1"/>
  <c r="B247" i="1"/>
  <c r="B229" i="1"/>
  <c r="B151" i="1"/>
  <c r="F173" i="1"/>
  <c r="B114" i="1"/>
  <c r="C66" i="1"/>
  <c r="B163" i="1"/>
  <c r="B97" i="1"/>
  <c r="B217" i="1"/>
  <c r="G161" i="1"/>
  <c r="G155" i="1"/>
  <c r="G137" i="1"/>
  <c r="G190" i="1"/>
  <c r="G131" i="1"/>
  <c r="G125" i="1"/>
  <c r="C234" i="1"/>
  <c r="C205" i="1"/>
  <c r="C191" i="1"/>
  <c r="C261" i="1"/>
  <c r="C216" i="1"/>
  <c r="C162" i="1"/>
  <c r="C286" i="1"/>
  <c r="C266" i="1"/>
  <c r="C246" i="1"/>
  <c r="C156" i="1"/>
  <c r="C132" i="1"/>
  <c r="C84" i="1"/>
  <c r="C275" i="1"/>
  <c r="C222" i="1"/>
  <c r="C251" i="1"/>
  <c r="C228" i="1"/>
  <c r="C256" i="1"/>
  <c r="C240" i="1"/>
  <c r="C180" i="1"/>
  <c r="C150" i="1"/>
  <c r="C78" i="1"/>
  <c r="C209" i="1"/>
  <c r="C126" i="1"/>
  <c r="C168" i="1"/>
  <c r="C174" i="1"/>
  <c r="C144" i="1"/>
  <c r="C96" i="1"/>
  <c r="C120" i="1"/>
  <c r="C90" i="1"/>
  <c r="C72" i="1"/>
  <c r="C185" i="1"/>
  <c r="C138" i="1"/>
  <c r="C113" i="1"/>
  <c r="C108" i="1"/>
  <c r="C102" i="1"/>
  <c r="E262" i="1"/>
  <c r="E217" i="1"/>
  <c r="E163" i="1"/>
  <c r="E247" i="1"/>
  <c r="E145" i="1"/>
  <c r="E241" i="1"/>
  <c r="E151" i="1"/>
  <c r="E267" i="1"/>
  <c r="E223" i="1"/>
  <c r="E175" i="1"/>
  <c r="E169" i="1"/>
  <c r="E85" i="1"/>
  <c r="E79" i="1"/>
  <c r="E252" i="1"/>
  <c r="E127" i="1"/>
  <c r="E73" i="1"/>
  <c r="E139" i="1"/>
  <c r="E157" i="1"/>
  <c r="E133" i="1"/>
  <c r="E66" i="1"/>
  <c r="E257" i="1"/>
  <c r="E235" i="1"/>
  <c r="E201" i="1"/>
  <c r="E109" i="1"/>
  <c r="E103" i="1"/>
  <c r="E97" i="1"/>
  <c r="E121" i="1"/>
  <c r="E91" i="1"/>
  <c r="E229" i="1"/>
  <c r="E186" i="1"/>
  <c r="H41" i="1"/>
  <c r="H38" i="1"/>
  <c r="H44" i="1"/>
  <c r="H54" i="1"/>
  <c r="H49" i="1"/>
  <c r="H35" i="1"/>
  <c r="F20" i="1"/>
  <c r="F10" i="1"/>
  <c r="F30" i="1"/>
  <c r="F29" i="1"/>
  <c r="F15" i="1"/>
  <c r="F5" i="1"/>
  <c r="D15" i="1"/>
  <c r="D5" i="1"/>
  <c r="D30" i="1"/>
  <c r="D20" i="1"/>
  <c r="D10" i="1"/>
  <c r="D29" i="1"/>
  <c r="D235" i="1"/>
  <c r="D262" i="1"/>
  <c r="D217" i="1"/>
  <c r="D163" i="1"/>
  <c r="D169" i="1"/>
  <c r="D133" i="1"/>
  <c r="D85" i="1"/>
  <c r="D241" i="1"/>
  <c r="D267" i="1"/>
  <c r="D247" i="1"/>
  <c r="D145" i="1"/>
  <c r="D91" i="1"/>
  <c r="D186" i="1"/>
  <c r="D79" i="1"/>
  <c r="D151" i="1"/>
  <c r="D257" i="1"/>
  <c r="D114" i="1"/>
  <c r="D109" i="1"/>
  <c r="D157" i="1"/>
  <c r="D139" i="1"/>
  <c r="D223" i="1"/>
  <c r="D103" i="1"/>
  <c r="D97" i="1"/>
  <c r="D73" i="1"/>
  <c r="D252" i="1"/>
  <c r="D127" i="1"/>
  <c r="D121" i="1"/>
  <c r="D229" i="1"/>
  <c r="D175" i="1"/>
  <c r="D66" i="1"/>
  <c r="D201" i="1"/>
  <c r="D137" i="1"/>
  <c r="D125" i="1"/>
  <c r="D167" i="1"/>
  <c r="D131" i="1"/>
  <c r="D200" i="1"/>
  <c r="D179" i="1"/>
  <c r="D143" i="1"/>
  <c r="D190" i="1"/>
  <c r="D149" i="1"/>
  <c r="D161" i="1"/>
  <c r="D203" i="1"/>
  <c r="D155" i="1"/>
  <c r="H47" i="1"/>
  <c r="B38" i="1"/>
  <c r="B35" i="1"/>
  <c r="B54" i="1"/>
  <c r="C55" i="1" s="1"/>
  <c r="B41" i="1"/>
  <c r="B44" i="1"/>
  <c r="G20" i="1"/>
  <c r="G10" i="1"/>
  <c r="G29" i="1"/>
  <c r="G15" i="1"/>
  <c r="G5" i="1"/>
  <c r="G25" i="1"/>
  <c r="G30" i="1"/>
  <c r="E281" i="1"/>
  <c r="F281" i="1"/>
  <c r="B47" i="1"/>
  <c r="E114" i="1"/>
  <c r="F25" i="1"/>
  <c r="H240" i="1"/>
  <c r="H266" i="1"/>
  <c r="H222" i="1"/>
  <c r="H180" i="1"/>
  <c r="H168" i="1"/>
  <c r="H228" i="1"/>
  <c r="H162" i="1"/>
  <c r="H90" i="1"/>
  <c r="H256" i="1"/>
  <c r="H234" i="1"/>
  <c r="H261" i="1"/>
  <c r="H191" i="1"/>
  <c r="H209" i="1"/>
  <c r="H138" i="1"/>
  <c r="H156" i="1"/>
  <c r="H108" i="1"/>
  <c r="H102" i="1"/>
  <c r="H205" i="1"/>
  <c r="H144" i="1"/>
  <c r="H96" i="1"/>
  <c r="H286" i="1"/>
  <c r="H84" i="1"/>
  <c r="H275" i="1"/>
  <c r="H216" i="1"/>
  <c r="H120" i="1"/>
  <c r="H72" i="1"/>
  <c r="H126" i="1"/>
  <c r="H132" i="1"/>
  <c r="H246" i="1"/>
  <c r="H150" i="1"/>
  <c r="H78" i="1"/>
  <c r="H251" i="1"/>
  <c r="G281" i="1"/>
  <c r="F200" i="1"/>
  <c r="F155" i="1"/>
  <c r="F201" i="1"/>
  <c r="F137" i="1"/>
  <c r="F167" i="1"/>
  <c r="F179" i="1"/>
  <c r="F143" i="1"/>
  <c r="F149" i="1"/>
  <c r="F161" i="1"/>
  <c r="F125" i="1"/>
  <c r="F131" i="1"/>
  <c r="F190" i="1"/>
  <c r="D281" i="1"/>
  <c r="C161" i="1"/>
  <c r="C143" i="1"/>
  <c r="C201" i="1"/>
  <c r="C190" i="1"/>
  <c r="C155" i="1"/>
  <c r="C173" i="1"/>
  <c r="C137" i="1"/>
  <c r="C125" i="1"/>
  <c r="C167" i="1"/>
  <c r="C131" i="1"/>
  <c r="C200" i="1"/>
  <c r="C149" i="1"/>
  <c r="C179" i="1"/>
  <c r="C184" i="1"/>
  <c r="H185" i="1"/>
  <c r="H174" i="1"/>
  <c r="E15" i="1"/>
  <c r="E5" i="1"/>
  <c r="E30" i="1"/>
  <c r="E20" i="1"/>
  <c r="E10" i="1"/>
  <c r="E29" i="1"/>
  <c r="H113" i="1"/>
  <c r="I19" i="1" l="1"/>
  <c r="K6" i="1"/>
  <c r="J3" i="1"/>
  <c r="I4" i="1"/>
  <c r="I28" i="1"/>
  <c r="I20" i="1" s="1"/>
  <c r="I9" i="1"/>
  <c r="K21" i="1"/>
  <c r="J18" i="1"/>
  <c r="I23" i="1"/>
  <c r="J26" i="1"/>
  <c r="K11" i="1"/>
  <c r="J8" i="1"/>
  <c r="I14" i="1"/>
  <c r="K16" i="1"/>
  <c r="J13" i="1"/>
  <c r="H224" i="1"/>
  <c r="B209" i="1"/>
  <c r="B284" i="1" s="1"/>
  <c r="B150" i="1"/>
  <c r="B256" i="1"/>
  <c r="B174" i="1"/>
  <c r="B102" i="1"/>
  <c r="B144" i="1"/>
  <c r="B156" i="1"/>
  <c r="D230" i="1"/>
  <c r="B228" i="1"/>
  <c r="B126" i="1"/>
  <c r="B90" i="1"/>
  <c r="B180" i="1"/>
  <c r="B138" i="1"/>
  <c r="B185" i="1"/>
  <c r="B108" i="1"/>
  <c r="C204" i="1"/>
  <c r="B191" i="1"/>
  <c r="B168" i="1"/>
  <c r="B84" i="1"/>
  <c r="B222" i="1"/>
  <c r="B261" i="1"/>
  <c r="B132" i="1"/>
  <c r="B234" i="1"/>
  <c r="B216" i="1"/>
  <c r="B120" i="1"/>
  <c r="B240" i="1"/>
  <c r="O203" i="1"/>
  <c r="B246" i="1"/>
  <c r="B275" i="1"/>
  <c r="B72" i="1"/>
  <c r="B286" i="1"/>
  <c r="B205" i="1"/>
  <c r="B266" i="1"/>
  <c r="B96" i="1"/>
  <c r="B162" i="1"/>
  <c r="B78" i="1"/>
  <c r="B251" i="1"/>
  <c r="B113" i="1"/>
  <c r="G140" i="1"/>
  <c r="E113" i="1"/>
  <c r="G80" i="1"/>
  <c r="G230" i="1"/>
  <c r="F156" i="1"/>
  <c r="E236" i="1"/>
  <c r="E242" i="1"/>
  <c r="G234" i="1"/>
  <c r="C230" i="1"/>
  <c r="G218" i="1"/>
  <c r="D224" i="1"/>
  <c r="F224" i="1"/>
  <c r="I47" i="1"/>
  <c r="C242" i="1"/>
  <c r="F242" i="1"/>
  <c r="G242" i="1"/>
  <c r="D242" i="1"/>
  <c r="H242" i="1"/>
  <c r="H218" i="1"/>
  <c r="H236" i="1"/>
  <c r="D236" i="1"/>
  <c r="F230" i="1"/>
  <c r="E230" i="1"/>
  <c r="C236" i="1"/>
  <c r="H230" i="1"/>
  <c r="F236" i="1"/>
  <c r="C224" i="1"/>
  <c r="E224" i="1"/>
  <c r="G92" i="1"/>
  <c r="C218" i="1"/>
  <c r="G224" i="1"/>
  <c r="E218" i="1"/>
  <c r="D158" i="1"/>
  <c r="D218" i="1"/>
  <c r="F170" i="1"/>
  <c r="F218" i="1"/>
  <c r="P203" i="1"/>
  <c r="G86" i="1"/>
  <c r="H140" i="1"/>
  <c r="C170" i="1"/>
  <c r="C164" i="1"/>
  <c r="C146" i="1"/>
  <c r="J169" i="1"/>
  <c r="J163" i="1"/>
  <c r="J127" i="1"/>
  <c r="G122" i="1"/>
  <c r="G74" i="1"/>
  <c r="K182" i="1"/>
  <c r="J133" i="1"/>
  <c r="J157" i="1"/>
  <c r="J121" i="1"/>
  <c r="E170" i="1"/>
  <c r="J151" i="1"/>
  <c r="J139" i="1"/>
  <c r="D164" i="1"/>
  <c r="E164" i="1"/>
  <c r="D170" i="1"/>
  <c r="H170" i="1"/>
  <c r="E158" i="1"/>
  <c r="G170" i="1"/>
  <c r="G158" i="1"/>
  <c r="F152" i="1"/>
  <c r="F164" i="1"/>
  <c r="F146" i="1"/>
  <c r="H164" i="1"/>
  <c r="D152" i="1"/>
  <c r="G164" i="1"/>
  <c r="H158" i="1"/>
  <c r="C158" i="1"/>
  <c r="F158" i="1"/>
  <c r="G110" i="1"/>
  <c r="H152" i="1"/>
  <c r="D122" i="1"/>
  <c r="C152" i="1"/>
  <c r="E152" i="1"/>
  <c r="G152" i="1"/>
  <c r="D146" i="1"/>
  <c r="E146" i="1"/>
  <c r="G146" i="1"/>
  <c r="D140" i="1"/>
  <c r="H146" i="1"/>
  <c r="G98" i="1"/>
  <c r="C134" i="1"/>
  <c r="F134" i="1"/>
  <c r="C140" i="1"/>
  <c r="E140" i="1"/>
  <c r="F140" i="1"/>
  <c r="D134" i="1"/>
  <c r="F150" i="1"/>
  <c r="E128" i="1"/>
  <c r="C122" i="1"/>
  <c r="H134" i="1"/>
  <c r="D110" i="1"/>
  <c r="E134" i="1"/>
  <c r="D128" i="1"/>
  <c r="G134" i="1"/>
  <c r="C128" i="1"/>
  <c r="H128" i="1"/>
  <c r="D86" i="1"/>
  <c r="F128" i="1"/>
  <c r="G128" i="1"/>
  <c r="F104" i="1"/>
  <c r="H110" i="1"/>
  <c r="I109" i="1"/>
  <c r="P109" i="1"/>
  <c r="O109" i="1"/>
  <c r="F78" i="1"/>
  <c r="O79" i="1"/>
  <c r="P79" i="1"/>
  <c r="H122" i="1"/>
  <c r="C110" i="1"/>
  <c r="P91" i="1"/>
  <c r="O91" i="1"/>
  <c r="P85" i="1"/>
  <c r="O85" i="1"/>
  <c r="E122" i="1"/>
  <c r="P97" i="1"/>
  <c r="O97" i="1"/>
  <c r="O103" i="1"/>
  <c r="P103" i="1"/>
  <c r="D98" i="1"/>
  <c r="F122" i="1"/>
  <c r="H98" i="1"/>
  <c r="I97" i="1"/>
  <c r="H92" i="1"/>
  <c r="I91" i="1"/>
  <c r="H86" i="1"/>
  <c r="I85" i="1"/>
  <c r="H80" i="1"/>
  <c r="I79" i="1"/>
  <c r="J79" i="1" s="1"/>
  <c r="K79" i="1" s="1"/>
  <c r="L79" i="1" s="1"/>
  <c r="M79" i="1" s="1"/>
  <c r="H104" i="1"/>
  <c r="I103" i="1"/>
  <c r="E110" i="1"/>
  <c r="F110" i="1"/>
  <c r="E84" i="1"/>
  <c r="E92" i="1"/>
  <c r="D104" i="1"/>
  <c r="E74" i="1"/>
  <c r="E104" i="1"/>
  <c r="E98" i="1"/>
  <c r="C98" i="1"/>
  <c r="E120" i="1"/>
  <c r="F228" i="1"/>
  <c r="E251" i="1"/>
  <c r="E286" i="1"/>
  <c r="F98" i="1"/>
  <c r="E90" i="1"/>
  <c r="E168" i="1"/>
  <c r="E132" i="1"/>
  <c r="E234" i="1"/>
  <c r="E180" i="1"/>
  <c r="F180" i="1"/>
  <c r="E102" i="1"/>
  <c r="E156" i="1"/>
  <c r="E205" i="1"/>
  <c r="E144" i="1"/>
  <c r="E108" i="1"/>
  <c r="E222" i="1"/>
  <c r="F108" i="1"/>
  <c r="E191" i="1"/>
  <c r="E209" i="1"/>
  <c r="E284" i="1" s="1"/>
  <c r="E282" i="1" s="1"/>
  <c r="F191" i="1"/>
  <c r="E275" i="1"/>
  <c r="E96" i="1"/>
  <c r="E266" i="1"/>
  <c r="E138" i="1"/>
  <c r="E261" i="1"/>
  <c r="F266" i="1"/>
  <c r="E126" i="1"/>
  <c r="F92" i="1"/>
  <c r="E240" i="1"/>
  <c r="E162" i="1"/>
  <c r="F84" i="1"/>
  <c r="E86" i="1"/>
  <c r="C92" i="1"/>
  <c r="E78" i="1"/>
  <c r="E216" i="1"/>
  <c r="E228" i="1"/>
  <c r="D92" i="1"/>
  <c r="F246" i="1"/>
  <c r="F222" i="1"/>
  <c r="E150" i="1"/>
  <c r="E72" i="1"/>
  <c r="E256" i="1"/>
  <c r="E246" i="1"/>
  <c r="E174" i="1"/>
  <c r="F90" i="1"/>
  <c r="F234" i="1"/>
  <c r="E185" i="1"/>
  <c r="G228" i="1"/>
  <c r="C86" i="1"/>
  <c r="G150" i="1"/>
  <c r="G55" i="1"/>
  <c r="C74" i="1"/>
  <c r="C80" i="1"/>
  <c r="G90" i="1"/>
  <c r="G72" i="1"/>
  <c r="F86" i="1"/>
  <c r="G120" i="1"/>
  <c r="G216" i="1"/>
  <c r="G205" i="1"/>
  <c r="G246" i="1"/>
  <c r="G185" i="1"/>
  <c r="G191" i="1"/>
  <c r="G113" i="1"/>
  <c r="G108" i="1"/>
  <c r="G144" i="1"/>
  <c r="F74" i="1"/>
  <c r="H204" i="1"/>
  <c r="G275" i="1"/>
  <c r="G84" i="1"/>
  <c r="G180" i="1"/>
  <c r="G266" i="1"/>
  <c r="G209" i="1"/>
  <c r="H210" i="1" s="1"/>
  <c r="G156" i="1"/>
  <c r="D74" i="1"/>
  <c r="G96" i="1"/>
  <c r="G138" i="1"/>
  <c r="G132" i="1"/>
  <c r="G162" i="1"/>
  <c r="G286" i="1"/>
  <c r="G102" i="1"/>
  <c r="G261" i="1"/>
  <c r="G256" i="1"/>
  <c r="G78" i="1"/>
  <c r="G126" i="1"/>
  <c r="G240" i="1"/>
  <c r="G174" i="1"/>
  <c r="G222" i="1"/>
  <c r="G251" i="1"/>
  <c r="G168" i="1"/>
  <c r="D80" i="1"/>
  <c r="E80" i="1"/>
  <c r="P73" i="1"/>
  <c r="O73" i="1"/>
  <c r="I73" i="1"/>
  <c r="J73" i="1" s="1"/>
  <c r="K73" i="1" s="1"/>
  <c r="L73" i="1" s="1"/>
  <c r="M73" i="1" s="1"/>
  <c r="H74" i="1"/>
  <c r="F80" i="1"/>
  <c r="F185" i="1"/>
  <c r="F113" i="1"/>
  <c r="F240" i="1"/>
  <c r="F168" i="1"/>
  <c r="F162" i="1"/>
  <c r="F209" i="1"/>
  <c r="F284" i="1" s="1"/>
  <c r="F282" i="1" s="1"/>
  <c r="G204" i="1"/>
  <c r="F72" i="1"/>
  <c r="F144" i="1"/>
  <c r="F286" i="1"/>
  <c r="F120" i="1"/>
  <c r="F251" i="1"/>
  <c r="F96" i="1"/>
  <c r="F126" i="1"/>
  <c r="F204" i="1"/>
  <c r="F261" i="1"/>
  <c r="F132" i="1"/>
  <c r="F174" i="1"/>
  <c r="F275" i="1"/>
  <c r="F205" i="1"/>
  <c r="F216" i="1"/>
  <c r="F102" i="1"/>
  <c r="F138" i="1"/>
  <c r="F256" i="1"/>
  <c r="I49" i="1"/>
  <c r="I57" i="1"/>
  <c r="I44" i="1"/>
  <c r="I54" i="1"/>
  <c r="I55" i="1" s="1"/>
  <c r="I38" i="1"/>
  <c r="I41" i="1"/>
  <c r="I35" i="1"/>
  <c r="P54" i="1"/>
  <c r="O54" i="1"/>
  <c r="H55" i="1"/>
  <c r="K45" i="1"/>
  <c r="J48" i="1"/>
  <c r="D261" i="1"/>
  <c r="D216" i="1"/>
  <c r="D162" i="1"/>
  <c r="D286" i="1"/>
  <c r="D246" i="1"/>
  <c r="D144" i="1"/>
  <c r="D222" i="1"/>
  <c r="D251" i="1"/>
  <c r="D228" i="1"/>
  <c r="D256" i="1"/>
  <c r="D234" i="1"/>
  <c r="D150" i="1"/>
  <c r="D78" i="1"/>
  <c r="D209" i="1"/>
  <c r="D204" i="1"/>
  <c r="D126" i="1"/>
  <c r="D174" i="1"/>
  <c r="D156" i="1"/>
  <c r="D138" i="1"/>
  <c r="D132" i="1"/>
  <c r="D120" i="1"/>
  <c r="D72" i="1"/>
  <c r="D90" i="1"/>
  <c r="D168" i="1"/>
  <c r="D84" i="1"/>
  <c r="D205" i="1"/>
  <c r="D180" i="1"/>
  <c r="D108" i="1"/>
  <c r="D240" i="1"/>
  <c r="D102" i="1"/>
  <c r="D266" i="1"/>
  <c r="D191" i="1"/>
  <c r="D96" i="1"/>
  <c r="D113" i="1"/>
  <c r="D185" i="1"/>
  <c r="D275" i="1"/>
  <c r="C284" i="1"/>
  <c r="C282" i="1" s="1"/>
  <c r="H284" i="1"/>
  <c r="H282" i="1" s="1"/>
  <c r="H297" i="1" s="1"/>
  <c r="E204" i="1"/>
  <c r="C283" i="1" l="1"/>
  <c r="C297" i="1"/>
  <c r="F283" i="1"/>
  <c r="F297" i="1"/>
  <c r="E283" i="1"/>
  <c r="E297" i="1"/>
  <c r="P282" i="1"/>
  <c r="H283" i="1"/>
  <c r="B303" i="1"/>
  <c r="B306" i="1" s="1"/>
  <c r="B282" i="1"/>
  <c r="P284" i="1"/>
  <c r="O284" i="1"/>
  <c r="I5" i="1"/>
  <c r="J9" i="1"/>
  <c r="K26" i="1"/>
  <c r="J23" i="1"/>
  <c r="J28" i="1" s="1"/>
  <c r="I24" i="1"/>
  <c r="I25" i="1"/>
  <c r="J4" i="1"/>
  <c r="J14" i="1"/>
  <c r="J19" i="1"/>
  <c r="L6" i="1"/>
  <c r="K3" i="1"/>
  <c r="L11" i="1"/>
  <c r="K8" i="1"/>
  <c r="L16" i="1"/>
  <c r="K13" i="1"/>
  <c r="L21" i="1"/>
  <c r="K18" i="1"/>
  <c r="I29" i="1"/>
  <c r="I30" i="1"/>
  <c r="C210" i="1"/>
  <c r="I15" i="1"/>
  <c r="I10" i="1"/>
  <c r="O209" i="1"/>
  <c r="B307" i="1"/>
  <c r="B323" i="1" s="1"/>
  <c r="B344" i="1" s="1"/>
  <c r="B346" i="1" s="1"/>
  <c r="B352" i="1" s="1"/>
  <c r="B354" i="1" s="1"/>
  <c r="B287" i="1"/>
  <c r="P209" i="1"/>
  <c r="K121" i="1"/>
  <c r="K139" i="1"/>
  <c r="K151" i="1"/>
  <c r="K133" i="1"/>
  <c r="K163" i="1"/>
  <c r="K127" i="1"/>
  <c r="K157" i="1"/>
  <c r="L182" i="1"/>
  <c r="K169" i="1"/>
  <c r="J103" i="1"/>
  <c r="J97" i="1"/>
  <c r="J85" i="1"/>
  <c r="J91" i="1"/>
  <c r="J109" i="1"/>
  <c r="R79" i="1"/>
  <c r="Q79" i="1"/>
  <c r="E210" i="1"/>
  <c r="G284" i="1"/>
  <c r="R73" i="1"/>
  <c r="Q73" i="1"/>
  <c r="F210" i="1"/>
  <c r="G210" i="1"/>
  <c r="J49" i="1"/>
  <c r="J57" i="1"/>
  <c r="I61" i="1"/>
  <c r="I58" i="1"/>
  <c r="J47" i="1"/>
  <c r="J44" i="1"/>
  <c r="J54" i="1"/>
  <c r="J55" i="1" s="1"/>
  <c r="J41" i="1"/>
  <c r="J38" i="1"/>
  <c r="J35" i="1"/>
  <c r="L45" i="1"/>
  <c r="K48" i="1"/>
  <c r="H287" i="1"/>
  <c r="H303" i="1"/>
  <c r="C285" i="1"/>
  <c r="C287" i="1"/>
  <c r="C303" i="1"/>
  <c r="D210" i="1"/>
  <c r="D284" i="1"/>
  <c r="D282" i="1" s="1"/>
  <c r="E303" i="1"/>
  <c r="E287" i="1"/>
  <c r="F303" i="1"/>
  <c r="F287" i="1"/>
  <c r="F285" i="1"/>
  <c r="B283" i="1" l="1"/>
  <c r="B297" i="1"/>
  <c r="D283" i="1"/>
  <c r="D297" i="1"/>
  <c r="O282" i="1"/>
  <c r="G285" i="1"/>
  <c r="G282" i="1"/>
  <c r="M11" i="1"/>
  <c r="L8" i="1"/>
  <c r="J5" i="1"/>
  <c r="J30" i="1"/>
  <c r="J29" i="1"/>
  <c r="K9" i="1"/>
  <c r="K19" i="1"/>
  <c r="L18" i="1"/>
  <c r="M21" i="1"/>
  <c r="L26" i="1"/>
  <c r="K23" i="1"/>
  <c r="K28" i="1" s="1"/>
  <c r="J24" i="1"/>
  <c r="J25" i="1"/>
  <c r="K14" i="1"/>
  <c r="J15" i="1"/>
  <c r="J10" i="1"/>
  <c r="K4" i="1"/>
  <c r="M6" i="1"/>
  <c r="L3" i="1"/>
  <c r="J20" i="1"/>
  <c r="M16" i="1"/>
  <c r="L13" i="1"/>
  <c r="B311" i="1"/>
  <c r="B357" i="1" s="1"/>
  <c r="K47" i="1"/>
  <c r="L133" i="1"/>
  <c r="L157" i="1"/>
  <c r="L127" i="1"/>
  <c r="L139" i="1"/>
  <c r="L151" i="1"/>
  <c r="M182" i="1"/>
  <c r="L169" i="1"/>
  <c r="L163" i="1"/>
  <c r="L121" i="1"/>
  <c r="G303" i="1"/>
  <c r="H304" i="1" s="1"/>
  <c r="K91" i="1"/>
  <c r="G287" i="1"/>
  <c r="K97" i="1"/>
  <c r="K85" i="1"/>
  <c r="H285" i="1"/>
  <c r="K109" i="1"/>
  <c r="K103" i="1"/>
  <c r="J61" i="1"/>
  <c r="J58" i="1"/>
  <c r="K49" i="1"/>
  <c r="K57" i="1"/>
  <c r="I62" i="1"/>
  <c r="I65" i="1"/>
  <c r="K44" i="1"/>
  <c r="K54" i="1"/>
  <c r="K55" i="1" s="1"/>
  <c r="K41" i="1"/>
  <c r="K38" i="1"/>
  <c r="K35" i="1"/>
  <c r="M45" i="1"/>
  <c r="L48" i="1"/>
  <c r="D287" i="1"/>
  <c r="D285" i="1"/>
  <c r="D303" i="1"/>
  <c r="E304" i="1" s="1"/>
  <c r="E285" i="1"/>
  <c r="C304" i="1"/>
  <c r="C307" i="1"/>
  <c r="C306" i="1"/>
  <c r="F306" i="1"/>
  <c r="F307" i="1"/>
  <c r="F304" i="1"/>
  <c r="H306" i="1"/>
  <c r="H307" i="1"/>
  <c r="E306" i="1"/>
  <c r="E307" i="1"/>
  <c r="G283" i="1" l="1"/>
  <c r="G297" i="1"/>
  <c r="I262" i="1"/>
  <c r="I241" i="1"/>
  <c r="I242" i="1" s="1"/>
  <c r="I267" i="1"/>
  <c r="I217" i="1"/>
  <c r="I218" i="1" s="1"/>
  <c r="I223" i="1"/>
  <c r="I224" i="1" s="1"/>
  <c r="I247" i="1"/>
  <c r="I235" i="1"/>
  <c r="I236" i="1" s="1"/>
  <c r="I229" i="1"/>
  <c r="I230" i="1" s="1"/>
  <c r="I257" i="1"/>
  <c r="K5" i="1"/>
  <c r="K10" i="1"/>
  <c r="L4" i="1"/>
  <c r="L23" i="1"/>
  <c r="L28" i="1" s="1"/>
  <c r="M26" i="1"/>
  <c r="M13" i="1"/>
  <c r="Q16" i="1"/>
  <c r="R16" i="1"/>
  <c r="L19" i="1"/>
  <c r="L9" i="1"/>
  <c r="Q6" i="1"/>
  <c r="M3" i="1"/>
  <c r="R6" i="1"/>
  <c r="K30" i="1"/>
  <c r="K29" i="1"/>
  <c r="K24" i="1"/>
  <c r="K25" i="1"/>
  <c r="L14" i="1"/>
  <c r="Q21" i="1"/>
  <c r="M18" i="1"/>
  <c r="M19" i="1" s="1"/>
  <c r="R21" i="1"/>
  <c r="B313" i="1"/>
  <c r="B363" i="1"/>
  <c r="K15" i="1"/>
  <c r="K20" i="1"/>
  <c r="M8" i="1"/>
  <c r="R11" i="1"/>
  <c r="Q11" i="1"/>
  <c r="B314" i="1"/>
  <c r="G304" i="1"/>
  <c r="L47" i="1"/>
  <c r="G306" i="1"/>
  <c r="M127" i="1"/>
  <c r="M157" i="1"/>
  <c r="M163" i="1"/>
  <c r="I186" i="1"/>
  <c r="I159" i="1"/>
  <c r="I160" i="1" s="1"/>
  <c r="I123" i="1"/>
  <c r="I124" i="1" s="1"/>
  <c r="I165" i="1"/>
  <c r="I166" i="1" s="1"/>
  <c r="I147" i="1"/>
  <c r="I148" i="1" s="1"/>
  <c r="I129" i="1"/>
  <c r="I130" i="1" s="1"/>
  <c r="I135" i="1"/>
  <c r="I153" i="1"/>
  <c r="I154" i="1" s="1"/>
  <c r="I117" i="1"/>
  <c r="M139" i="1"/>
  <c r="M169" i="1"/>
  <c r="G307" i="1"/>
  <c r="H308" i="1" s="1"/>
  <c r="M121" i="1"/>
  <c r="M151" i="1"/>
  <c r="M133" i="1"/>
  <c r="L103" i="1"/>
  <c r="L85" i="1"/>
  <c r="L97" i="1"/>
  <c r="I66" i="1"/>
  <c r="I75" i="1"/>
  <c r="I99" i="1"/>
  <c r="I100" i="1" s="1"/>
  <c r="I105" i="1"/>
  <c r="I106" i="1" s="1"/>
  <c r="I93" i="1"/>
  <c r="I94" i="1" s="1"/>
  <c r="I81" i="1"/>
  <c r="I82" i="1" s="1"/>
  <c r="I87" i="1"/>
  <c r="I88" i="1" s="1"/>
  <c r="L109" i="1"/>
  <c r="L91" i="1"/>
  <c r="L49" i="1"/>
  <c r="L57" i="1"/>
  <c r="K61" i="1"/>
  <c r="K58" i="1"/>
  <c r="J62" i="1"/>
  <c r="J65" i="1"/>
  <c r="R45" i="1"/>
  <c r="Q45" i="1"/>
  <c r="M48" i="1"/>
  <c r="L44" i="1"/>
  <c r="L54" i="1"/>
  <c r="L55" i="1" s="1"/>
  <c r="L38" i="1"/>
  <c r="L35" i="1"/>
  <c r="L41" i="1"/>
  <c r="F311" i="1"/>
  <c r="F323" i="1"/>
  <c r="F344" i="1" s="1"/>
  <c r="F346" i="1" s="1"/>
  <c r="F352" i="1" s="1"/>
  <c r="F308" i="1"/>
  <c r="C308" i="1"/>
  <c r="C323" i="1"/>
  <c r="C344" i="1" s="1"/>
  <c r="C346" i="1" s="1"/>
  <c r="C352" i="1" s="1"/>
  <c r="C311" i="1"/>
  <c r="E323" i="1"/>
  <c r="E344" i="1" s="1"/>
  <c r="E346" i="1" s="1"/>
  <c r="E352" i="1" s="1"/>
  <c r="E311" i="1"/>
  <c r="D304" i="1"/>
  <c r="D306" i="1"/>
  <c r="D307" i="1"/>
  <c r="E308" i="1" s="1"/>
  <c r="H311" i="1"/>
  <c r="H323" i="1"/>
  <c r="H344" i="1" s="1"/>
  <c r="H346" i="1" s="1"/>
  <c r="H352" i="1" s="1"/>
  <c r="H313" i="1" l="1"/>
  <c r="J262" i="1"/>
  <c r="J267" i="1"/>
  <c r="J241" i="1"/>
  <c r="J242" i="1" s="1"/>
  <c r="J217" i="1"/>
  <c r="J218" i="1" s="1"/>
  <c r="J223" i="1"/>
  <c r="J224" i="1" s="1"/>
  <c r="J247" i="1"/>
  <c r="J257" i="1"/>
  <c r="J229" i="1"/>
  <c r="J230" i="1" s="1"/>
  <c r="J235" i="1"/>
  <c r="L30" i="1"/>
  <c r="L29" i="1"/>
  <c r="L15" i="1"/>
  <c r="L20" i="1"/>
  <c r="L10" i="1"/>
  <c r="L5" i="1"/>
  <c r="M4" i="1"/>
  <c r="M14" i="1"/>
  <c r="M9" i="1"/>
  <c r="R26" i="1"/>
  <c r="Q26" i="1"/>
  <c r="M23" i="1"/>
  <c r="M28" i="1" s="1"/>
  <c r="L24" i="1"/>
  <c r="L25" i="1"/>
  <c r="M47" i="1"/>
  <c r="G308" i="1"/>
  <c r="G323" i="1"/>
  <c r="G344" i="1" s="1"/>
  <c r="G346" i="1" s="1"/>
  <c r="G352" i="1" s="1"/>
  <c r="G354" i="1" s="1"/>
  <c r="I118" i="1"/>
  <c r="J186" i="1"/>
  <c r="J135" i="1"/>
  <c r="J136" i="1" s="1"/>
  <c r="J153" i="1"/>
  <c r="J154" i="1" s="1"/>
  <c r="J117" i="1"/>
  <c r="J159" i="1"/>
  <c r="J160" i="1" s="1"/>
  <c r="J165" i="1"/>
  <c r="J166" i="1" s="1"/>
  <c r="J123" i="1"/>
  <c r="J124" i="1" s="1"/>
  <c r="J147" i="1"/>
  <c r="J148" i="1" s="1"/>
  <c r="J129" i="1"/>
  <c r="J130" i="1" s="1"/>
  <c r="I136" i="1"/>
  <c r="G311" i="1"/>
  <c r="M91" i="1"/>
  <c r="M85" i="1"/>
  <c r="J66" i="1"/>
  <c r="J75" i="1"/>
  <c r="J93" i="1"/>
  <c r="J94" i="1" s="1"/>
  <c r="J87" i="1"/>
  <c r="J88" i="1" s="1"/>
  <c r="J105" i="1"/>
  <c r="J106" i="1" s="1"/>
  <c r="J99" i="1"/>
  <c r="J100" i="1" s="1"/>
  <c r="J81" i="1"/>
  <c r="J82" i="1" s="1"/>
  <c r="M97" i="1"/>
  <c r="M109" i="1"/>
  <c r="M103" i="1"/>
  <c r="K65" i="1"/>
  <c r="K62" i="1"/>
  <c r="L58" i="1"/>
  <c r="L61" i="1"/>
  <c r="M49" i="1"/>
  <c r="M57" i="1"/>
  <c r="M44" i="1"/>
  <c r="M54" i="1"/>
  <c r="R48" i="1"/>
  <c r="Q48" i="1"/>
  <c r="M38" i="1"/>
  <c r="M35" i="1"/>
  <c r="M41" i="1"/>
  <c r="C353" i="1"/>
  <c r="C354" i="1"/>
  <c r="H354" i="1"/>
  <c r="H363" i="1"/>
  <c r="H320" i="1"/>
  <c r="H314" i="1"/>
  <c r="H357" i="1"/>
  <c r="D308" i="1"/>
  <c r="D323" i="1"/>
  <c r="D344" i="1" s="1"/>
  <c r="D346" i="1" s="1"/>
  <c r="D352" i="1" s="1"/>
  <c r="E353" i="1" s="1"/>
  <c r="D311" i="1"/>
  <c r="E312" i="1" s="1"/>
  <c r="F353" i="1"/>
  <c r="F354" i="1"/>
  <c r="E354" i="1"/>
  <c r="C357" i="1"/>
  <c r="C312" i="1"/>
  <c r="C363" i="1"/>
  <c r="C320" i="1"/>
  <c r="C313" i="1"/>
  <c r="C314" i="1"/>
  <c r="E357" i="1"/>
  <c r="E363" i="1"/>
  <c r="E313" i="1"/>
  <c r="E314" i="1"/>
  <c r="E320" i="1"/>
  <c r="F363" i="1"/>
  <c r="F314" i="1"/>
  <c r="F357" i="1"/>
  <c r="F320" i="1"/>
  <c r="F313" i="1"/>
  <c r="F312" i="1"/>
  <c r="G314" i="1" l="1"/>
  <c r="G312" i="1"/>
  <c r="G313" i="1"/>
  <c r="H312" i="1"/>
  <c r="K262" i="1"/>
  <c r="K241" i="1"/>
  <c r="K242" i="1" s="1"/>
  <c r="K267" i="1"/>
  <c r="J236" i="1"/>
  <c r="K217" i="1"/>
  <c r="K218" i="1" s="1"/>
  <c r="K223" i="1"/>
  <c r="K224" i="1" s="1"/>
  <c r="K247" i="1"/>
  <c r="K229" i="1"/>
  <c r="K230" i="1" s="1"/>
  <c r="K257" i="1"/>
  <c r="K235" i="1"/>
  <c r="K236" i="1" s="1"/>
  <c r="M20" i="1"/>
  <c r="M29" i="1"/>
  <c r="M30" i="1"/>
  <c r="M10" i="1"/>
  <c r="M15" i="1"/>
  <c r="M24" i="1"/>
  <c r="M25" i="1"/>
  <c r="M5" i="1"/>
  <c r="H353" i="1"/>
  <c r="G353" i="1"/>
  <c r="G320" i="1"/>
  <c r="G357" i="1"/>
  <c r="G363" i="1"/>
  <c r="K186" i="1"/>
  <c r="K135" i="1"/>
  <c r="K136" i="1" s="1"/>
  <c r="K129" i="1"/>
  <c r="K130" i="1" s="1"/>
  <c r="K147" i="1"/>
  <c r="K148" i="1" s="1"/>
  <c r="K117" i="1"/>
  <c r="K153" i="1"/>
  <c r="K154" i="1" s="1"/>
  <c r="K165" i="1"/>
  <c r="K166" i="1" s="1"/>
  <c r="K159" i="1"/>
  <c r="K160" i="1" s="1"/>
  <c r="K123" i="1"/>
  <c r="K124" i="1" s="1"/>
  <c r="J118" i="1"/>
  <c r="Q103" i="1"/>
  <c r="R103" i="1"/>
  <c r="R85" i="1"/>
  <c r="Q85" i="1"/>
  <c r="R109" i="1"/>
  <c r="Q109" i="1"/>
  <c r="Q97" i="1"/>
  <c r="R97" i="1"/>
  <c r="K66" i="1"/>
  <c r="K75" i="1"/>
  <c r="K87" i="1"/>
  <c r="K88" i="1" s="1"/>
  <c r="K105" i="1"/>
  <c r="K106" i="1" s="1"/>
  <c r="K99" i="1"/>
  <c r="K100" i="1" s="1"/>
  <c r="K81" i="1"/>
  <c r="K82" i="1" s="1"/>
  <c r="K93" i="1"/>
  <c r="K94" i="1" s="1"/>
  <c r="Q91" i="1"/>
  <c r="R91" i="1"/>
  <c r="M58" i="1"/>
  <c r="M61" i="1"/>
  <c r="L65" i="1"/>
  <c r="L62" i="1"/>
  <c r="R54" i="1"/>
  <c r="Q54" i="1"/>
  <c r="M55" i="1"/>
  <c r="D357" i="1"/>
  <c r="D312" i="1"/>
  <c r="D363" i="1"/>
  <c r="D313" i="1"/>
  <c r="D314" i="1"/>
  <c r="D320" i="1"/>
  <c r="D354" i="1"/>
  <c r="D353" i="1"/>
  <c r="L267" i="1" l="1"/>
  <c r="L241" i="1"/>
  <c r="L242" i="1" s="1"/>
  <c r="L262" i="1"/>
  <c r="L217" i="1"/>
  <c r="L218" i="1" s="1"/>
  <c r="L223" i="1"/>
  <c r="L224" i="1" s="1"/>
  <c r="L247" i="1"/>
  <c r="L229" i="1"/>
  <c r="L230" i="1" s="1"/>
  <c r="L257" i="1"/>
  <c r="L235" i="1"/>
  <c r="L236" i="1" s="1"/>
  <c r="K118" i="1"/>
  <c r="L186" i="1"/>
  <c r="L135" i="1"/>
  <c r="L147" i="1"/>
  <c r="L148" i="1" s="1"/>
  <c r="L123" i="1"/>
  <c r="L124" i="1" s="1"/>
  <c r="L159" i="1"/>
  <c r="L160" i="1" s="1"/>
  <c r="L117" i="1"/>
  <c r="L165" i="1"/>
  <c r="L166" i="1" s="1"/>
  <c r="L129" i="1"/>
  <c r="L130" i="1" s="1"/>
  <c r="L153" i="1"/>
  <c r="L154" i="1" s="1"/>
  <c r="L66" i="1"/>
  <c r="L75" i="1"/>
  <c r="L99" i="1"/>
  <c r="L100" i="1" s="1"/>
  <c r="L81" i="1"/>
  <c r="L82" i="1" s="1"/>
  <c r="L93" i="1"/>
  <c r="L94" i="1" s="1"/>
  <c r="L87" i="1"/>
  <c r="L88" i="1" s="1"/>
  <c r="L105" i="1"/>
  <c r="L106" i="1" s="1"/>
  <c r="M62" i="1"/>
  <c r="M65" i="1"/>
  <c r="M267" i="1" l="1"/>
  <c r="M262" i="1"/>
  <c r="M241" i="1"/>
  <c r="M242" i="1" s="1"/>
  <c r="M217" i="1"/>
  <c r="M218" i="1" s="1"/>
  <c r="M247" i="1"/>
  <c r="M223" i="1"/>
  <c r="M224" i="1" s="1"/>
  <c r="M229" i="1"/>
  <c r="M230" i="1" s="1"/>
  <c r="M257" i="1"/>
  <c r="M235" i="1"/>
  <c r="M236" i="1" s="1"/>
  <c r="M186" i="1"/>
  <c r="M135" i="1"/>
  <c r="M136" i="1" s="1"/>
  <c r="M159" i="1"/>
  <c r="M160" i="1" s="1"/>
  <c r="M153" i="1"/>
  <c r="M154" i="1" s="1"/>
  <c r="M147" i="1"/>
  <c r="M148" i="1" s="1"/>
  <c r="M165" i="1"/>
  <c r="M166" i="1" s="1"/>
  <c r="M117" i="1"/>
  <c r="M123" i="1"/>
  <c r="M124" i="1" s="1"/>
  <c r="M129" i="1"/>
  <c r="M130" i="1" s="1"/>
  <c r="L136" i="1"/>
  <c r="L118" i="1"/>
  <c r="M66" i="1"/>
  <c r="M75" i="1"/>
  <c r="M99" i="1"/>
  <c r="M100" i="1" s="1"/>
  <c r="M93" i="1"/>
  <c r="M94" i="1" s="1"/>
  <c r="M81" i="1"/>
  <c r="M82" i="1" s="1"/>
  <c r="M87" i="1"/>
  <c r="M88" i="1" s="1"/>
  <c r="M105" i="1"/>
  <c r="M106" i="1" s="1"/>
  <c r="M118" i="1" l="1"/>
  <c r="Q135" i="1"/>
  <c r="R135" i="1"/>
  <c r="R75" i="1"/>
  <c r="Q75" i="1"/>
  <c r="L69" i="1" l="1"/>
  <c r="K69" i="1"/>
  <c r="J69" i="1"/>
  <c r="I69" i="1"/>
  <c r="M69" i="1"/>
  <c r="J70" i="1" l="1"/>
  <c r="K70" i="1"/>
  <c r="K76" i="1" s="1"/>
  <c r="M70" i="1"/>
  <c r="I70" i="1"/>
  <c r="I76" i="1" s="1"/>
  <c r="L70" i="1"/>
  <c r="R69" i="1"/>
  <c r="Q69" i="1"/>
  <c r="M76" i="1" l="1"/>
  <c r="I111" i="1"/>
  <c r="K111" i="1"/>
  <c r="K83" i="1" s="1"/>
  <c r="M111" i="1"/>
  <c r="M95" i="1" s="1"/>
  <c r="L76" i="1"/>
  <c r="J76" i="1"/>
  <c r="L111" i="1"/>
  <c r="J111" i="1"/>
  <c r="J107" i="1" s="1"/>
  <c r="I71" i="1" l="1"/>
  <c r="I107" i="1"/>
  <c r="I89" i="1"/>
  <c r="I77" i="1"/>
  <c r="I95" i="1"/>
  <c r="I83" i="1"/>
  <c r="I101" i="1"/>
  <c r="K71" i="1"/>
  <c r="K77" i="1"/>
  <c r="K107" i="1"/>
  <c r="K101" i="1"/>
  <c r="K95" i="1"/>
  <c r="J83" i="1"/>
  <c r="J114" i="1"/>
  <c r="J112" i="1"/>
  <c r="J101" i="1"/>
  <c r="K89" i="1"/>
  <c r="K114" i="1"/>
  <c r="K112" i="1"/>
  <c r="I114" i="1"/>
  <c r="I112" i="1"/>
  <c r="M101" i="1"/>
  <c r="L101" i="1"/>
  <c r="L114" i="1"/>
  <c r="L112" i="1"/>
  <c r="L95" i="1"/>
  <c r="M77" i="1"/>
  <c r="L89" i="1"/>
  <c r="M107" i="1"/>
  <c r="L83" i="1"/>
  <c r="M83" i="1"/>
  <c r="R111" i="1"/>
  <c r="M112" i="1"/>
  <c r="Q111" i="1"/>
  <c r="M114" i="1"/>
  <c r="M71" i="1"/>
  <c r="J89" i="1"/>
  <c r="J71" i="1"/>
  <c r="L77" i="1"/>
  <c r="M89" i="1"/>
  <c r="J95" i="1"/>
  <c r="L71" i="1"/>
  <c r="J77" i="1"/>
  <c r="L107" i="1"/>
  <c r="I145" i="1" l="1"/>
  <c r="J145" i="1" s="1"/>
  <c r="K145" i="1" s="1"/>
  <c r="L145" i="1" s="1"/>
  <c r="M145" i="1" s="1"/>
  <c r="I141" i="1" l="1"/>
  <c r="I142" i="1" l="1"/>
  <c r="I199" i="1"/>
  <c r="I171" i="1"/>
  <c r="J141" i="1"/>
  <c r="I195" i="1" l="1"/>
  <c r="I119" i="1"/>
  <c r="J142" i="1"/>
  <c r="J199" i="1"/>
  <c r="I179" i="1"/>
  <c r="I190" i="1"/>
  <c r="I184" i="1"/>
  <c r="I200" i="1"/>
  <c r="I201" i="1"/>
  <c r="I143" i="1"/>
  <c r="I161" i="1"/>
  <c r="I167" i="1"/>
  <c r="I155" i="1"/>
  <c r="I149" i="1"/>
  <c r="I175" i="1"/>
  <c r="I173" i="1"/>
  <c r="I172" i="1"/>
  <c r="K141" i="1"/>
  <c r="I137" i="1"/>
  <c r="I131" i="1"/>
  <c r="I125" i="1"/>
  <c r="I203" i="1"/>
  <c r="I272" i="1" s="1"/>
  <c r="J171" i="1"/>
  <c r="J195" i="1" l="1"/>
  <c r="J119" i="1"/>
  <c r="I240" i="1"/>
  <c r="I261" i="1"/>
  <c r="I266" i="1"/>
  <c r="I222" i="1"/>
  <c r="I256" i="1"/>
  <c r="I246" i="1"/>
  <c r="I234" i="1"/>
  <c r="I228" i="1"/>
  <c r="I248" i="1"/>
  <c r="I252" i="1" s="1"/>
  <c r="I216" i="1"/>
  <c r="I196" i="1"/>
  <c r="K142" i="1"/>
  <c r="K199" i="1"/>
  <c r="J179" i="1"/>
  <c r="J190" i="1"/>
  <c r="J184" i="1"/>
  <c r="I180" i="1"/>
  <c r="I191" i="1"/>
  <c r="I185" i="1"/>
  <c r="J201" i="1"/>
  <c r="J200" i="1"/>
  <c r="I205" i="1"/>
  <c r="I204" i="1"/>
  <c r="J167" i="1"/>
  <c r="J155" i="1"/>
  <c r="J143" i="1"/>
  <c r="J161" i="1"/>
  <c r="J149" i="1"/>
  <c r="J175" i="1"/>
  <c r="J173" i="1"/>
  <c r="J172" i="1"/>
  <c r="I144" i="1"/>
  <c r="I162" i="1"/>
  <c r="I156" i="1"/>
  <c r="I168" i="1"/>
  <c r="I150" i="1"/>
  <c r="I174" i="1"/>
  <c r="J125" i="1"/>
  <c r="J137" i="1"/>
  <c r="J131" i="1"/>
  <c r="J203" i="1"/>
  <c r="J272" i="1" s="1"/>
  <c r="I84" i="1"/>
  <c r="I72" i="1"/>
  <c r="I102" i="1"/>
  <c r="I90" i="1"/>
  <c r="I138" i="1"/>
  <c r="I78" i="1"/>
  <c r="I126" i="1"/>
  <c r="I113" i="1"/>
  <c r="I132" i="1"/>
  <c r="I209" i="1"/>
  <c r="I120" i="1"/>
  <c r="I96" i="1"/>
  <c r="I108" i="1"/>
  <c r="K171" i="1"/>
  <c r="M141" i="1"/>
  <c r="M199" i="1" s="1"/>
  <c r="L141" i="1"/>
  <c r="K195" i="1" l="1"/>
  <c r="K119" i="1"/>
  <c r="M195" i="1"/>
  <c r="M119" i="1"/>
  <c r="J266" i="1"/>
  <c r="J240" i="1"/>
  <c r="J261" i="1"/>
  <c r="J246" i="1"/>
  <c r="J222" i="1"/>
  <c r="J228" i="1"/>
  <c r="J256" i="1"/>
  <c r="J234" i="1"/>
  <c r="I210" i="1"/>
  <c r="J196" i="1"/>
  <c r="J248" i="1"/>
  <c r="J252" i="1" s="1"/>
  <c r="J216" i="1"/>
  <c r="I273" i="1"/>
  <c r="I265" i="1" s="1"/>
  <c r="I249" i="1"/>
  <c r="L142" i="1"/>
  <c r="L199" i="1"/>
  <c r="K179" i="1"/>
  <c r="K190" i="1"/>
  <c r="K184" i="1"/>
  <c r="J180" i="1"/>
  <c r="J191" i="1"/>
  <c r="J185" i="1"/>
  <c r="M142" i="1"/>
  <c r="J174" i="1"/>
  <c r="J205" i="1"/>
  <c r="J204" i="1"/>
  <c r="K201" i="1"/>
  <c r="K200" i="1"/>
  <c r="J144" i="1"/>
  <c r="J156" i="1"/>
  <c r="J162" i="1"/>
  <c r="J168" i="1"/>
  <c r="J150" i="1"/>
  <c r="K175" i="1"/>
  <c r="K173" i="1"/>
  <c r="K172" i="1"/>
  <c r="K161" i="1"/>
  <c r="K143" i="1"/>
  <c r="K167" i="1"/>
  <c r="K155" i="1"/>
  <c r="K149" i="1"/>
  <c r="R141" i="1"/>
  <c r="Q141" i="1"/>
  <c r="L171" i="1"/>
  <c r="M171" i="1"/>
  <c r="J72" i="1"/>
  <c r="J90" i="1"/>
  <c r="J108" i="1"/>
  <c r="J209" i="1"/>
  <c r="J96" i="1"/>
  <c r="J132" i="1"/>
  <c r="J102" i="1"/>
  <c r="J84" i="1"/>
  <c r="J78" i="1"/>
  <c r="J120" i="1"/>
  <c r="J126" i="1"/>
  <c r="J138" i="1"/>
  <c r="J113" i="1"/>
  <c r="K137" i="1"/>
  <c r="K131" i="1"/>
  <c r="K125" i="1"/>
  <c r="K203" i="1"/>
  <c r="K272" i="1" s="1"/>
  <c r="L195" i="1" l="1"/>
  <c r="L119" i="1"/>
  <c r="K240" i="1"/>
  <c r="K261" i="1"/>
  <c r="K266" i="1"/>
  <c r="I260" i="1"/>
  <c r="I239" i="1"/>
  <c r="J210" i="1"/>
  <c r="K246" i="1"/>
  <c r="K228" i="1"/>
  <c r="K222" i="1"/>
  <c r="K256" i="1"/>
  <c r="K234" i="1"/>
  <c r="I280" i="1"/>
  <c r="I286" i="1" s="1"/>
  <c r="I227" i="1"/>
  <c r="I221" i="1"/>
  <c r="I233" i="1"/>
  <c r="I255" i="1"/>
  <c r="I245" i="1"/>
  <c r="I250" i="1"/>
  <c r="I215" i="1"/>
  <c r="I275" i="1"/>
  <c r="I271" i="1"/>
  <c r="I274" i="1"/>
  <c r="K196" i="1"/>
  <c r="K248" i="1"/>
  <c r="K252" i="1" s="1"/>
  <c r="K216" i="1"/>
  <c r="J249" i="1"/>
  <c r="J273" i="1"/>
  <c r="J265" i="1" s="1"/>
  <c r="L179" i="1"/>
  <c r="L190" i="1"/>
  <c r="L184" i="1"/>
  <c r="K180" i="1"/>
  <c r="K191" i="1"/>
  <c r="K185" i="1"/>
  <c r="M179" i="1"/>
  <c r="M190" i="1"/>
  <c r="M184" i="1"/>
  <c r="R199" i="1"/>
  <c r="M200" i="1"/>
  <c r="Q199" i="1"/>
  <c r="M201" i="1"/>
  <c r="L201" i="1"/>
  <c r="L200" i="1"/>
  <c r="K205" i="1"/>
  <c r="K204" i="1"/>
  <c r="M173" i="1"/>
  <c r="M172" i="1"/>
  <c r="M175" i="1"/>
  <c r="M155" i="1"/>
  <c r="M167" i="1"/>
  <c r="M143" i="1"/>
  <c r="M161" i="1"/>
  <c r="M149" i="1"/>
  <c r="L155" i="1"/>
  <c r="L161" i="1"/>
  <c r="L167" i="1"/>
  <c r="L143" i="1"/>
  <c r="L149" i="1"/>
  <c r="K168" i="1"/>
  <c r="K162" i="1"/>
  <c r="K156" i="1"/>
  <c r="K144" i="1"/>
  <c r="K150" i="1"/>
  <c r="L172" i="1"/>
  <c r="L173" i="1"/>
  <c r="L175" i="1"/>
  <c r="K174" i="1"/>
  <c r="K120" i="1"/>
  <c r="K84" i="1"/>
  <c r="K102" i="1"/>
  <c r="K96" i="1"/>
  <c r="K132" i="1"/>
  <c r="K108" i="1"/>
  <c r="K209" i="1"/>
  <c r="K126" i="1"/>
  <c r="K138" i="1"/>
  <c r="K78" i="1"/>
  <c r="K113" i="1"/>
  <c r="K72" i="1"/>
  <c r="K90" i="1"/>
  <c r="M125" i="1"/>
  <c r="M137" i="1"/>
  <c r="M131" i="1"/>
  <c r="M203" i="1"/>
  <c r="M272" i="1" s="1"/>
  <c r="L131" i="1"/>
  <c r="L137" i="1"/>
  <c r="L125" i="1"/>
  <c r="L203" i="1"/>
  <c r="L272" i="1" s="1"/>
  <c r="M261" i="1" l="1"/>
  <c r="M240" i="1"/>
  <c r="M266" i="1"/>
  <c r="L261" i="1"/>
  <c r="L266" i="1"/>
  <c r="L240" i="1"/>
  <c r="J260" i="1"/>
  <c r="J239" i="1"/>
  <c r="J233" i="1"/>
  <c r="J280" i="1"/>
  <c r="J286" i="1" s="1"/>
  <c r="J227" i="1"/>
  <c r="M246" i="1"/>
  <c r="M228" i="1"/>
  <c r="M222" i="1"/>
  <c r="M256" i="1"/>
  <c r="M234" i="1"/>
  <c r="K210" i="1"/>
  <c r="L222" i="1"/>
  <c r="L246" i="1"/>
  <c r="L228" i="1"/>
  <c r="L256" i="1"/>
  <c r="L234" i="1"/>
  <c r="I281" i="1"/>
  <c r="I284" i="1"/>
  <c r="J245" i="1"/>
  <c r="J221" i="1"/>
  <c r="J274" i="1"/>
  <c r="J255" i="1"/>
  <c r="J215" i="1"/>
  <c r="J271" i="1"/>
  <c r="J275" i="1"/>
  <c r="J250" i="1"/>
  <c r="M196" i="1"/>
  <c r="M248" i="1"/>
  <c r="M252" i="1" s="1"/>
  <c r="M216" i="1"/>
  <c r="L196" i="1"/>
  <c r="L248" i="1"/>
  <c r="L252" i="1" s="1"/>
  <c r="L216" i="1"/>
  <c r="K249" i="1"/>
  <c r="K273" i="1"/>
  <c r="K265" i="1" s="1"/>
  <c r="L180" i="1"/>
  <c r="L191" i="1"/>
  <c r="L185" i="1"/>
  <c r="M180" i="1"/>
  <c r="M191" i="1"/>
  <c r="M185" i="1"/>
  <c r="M174" i="1"/>
  <c r="M204" i="1"/>
  <c r="Q203" i="1"/>
  <c r="M205" i="1"/>
  <c r="R203" i="1"/>
  <c r="L204" i="1"/>
  <c r="L205" i="1"/>
  <c r="L156" i="1"/>
  <c r="L144" i="1"/>
  <c r="L162" i="1"/>
  <c r="L168" i="1"/>
  <c r="L150" i="1"/>
  <c r="L174" i="1"/>
  <c r="M168" i="1"/>
  <c r="M162" i="1"/>
  <c r="M144" i="1"/>
  <c r="M156" i="1"/>
  <c r="M150" i="1"/>
  <c r="L120" i="1"/>
  <c r="L96" i="1"/>
  <c r="L78" i="1"/>
  <c r="L126" i="1"/>
  <c r="L108" i="1"/>
  <c r="L113" i="1"/>
  <c r="L72" i="1"/>
  <c r="L102" i="1"/>
  <c r="L132" i="1"/>
  <c r="L84" i="1"/>
  <c r="L90" i="1"/>
  <c r="L209" i="1"/>
  <c r="L138" i="1"/>
  <c r="M96" i="1"/>
  <c r="M126" i="1"/>
  <c r="M132" i="1"/>
  <c r="M138" i="1"/>
  <c r="M90" i="1"/>
  <c r="M209" i="1"/>
  <c r="M102" i="1"/>
  <c r="M78" i="1"/>
  <c r="M120" i="1"/>
  <c r="M108" i="1"/>
  <c r="M72" i="1"/>
  <c r="M113" i="1"/>
  <c r="M84" i="1"/>
  <c r="I303" i="1" l="1"/>
  <c r="I282" i="1"/>
  <c r="I305" i="1"/>
  <c r="I304" i="1"/>
  <c r="K260" i="1"/>
  <c r="K239" i="1"/>
  <c r="I285" i="1"/>
  <c r="I287" i="1"/>
  <c r="L210" i="1"/>
  <c r="K280" i="1"/>
  <c r="K286" i="1" s="1"/>
  <c r="K227" i="1"/>
  <c r="J281" i="1"/>
  <c r="J284" i="1"/>
  <c r="J282" i="1" s="1"/>
  <c r="K221" i="1"/>
  <c r="K233" i="1"/>
  <c r="K255" i="1"/>
  <c r="K245" i="1"/>
  <c r="K215" i="1"/>
  <c r="K274" i="1"/>
  <c r="K271" i="1"/>
  <c r="K275" i="1"/>
  <c r="L249" i="1"/>
  <c r="L273" i="1"/>
  <c r="L265" i="1" s="1"/>
  <c r="M249" i="1"/>
  <c r="M273" i="1"/>
  <c r="M265" i="1" s="1"/>
  <c r="K250" i="1"/>
  <c r="Q209" i="1"/>
  <c r="R209" i="1"/>
  <c r="M210" i="1"/>
  <c r="C319" i="1"/>
  <c r="B320" i="1"/>
  <c r="I345" i="1" l="1"/>
  <c r="I333" i="1"/>
  <c r="J283" i="1"/>
  <c r="J297" i="1"/>
  <c r="I283" i="1"/>
  <c r="I297" i="1"/>
  <c r="J303" i="1"/>
  <c r="J304" i="1" s="1"/>
  <c r="J305" i="1"/>
  <c r="I307" i="1"/>
  <c r="I311" i="1" s="1"/>
  <c r="I356" i="1" s="1"/>
  <c r="I361" i="1" s="1"/>
  <c r="L260" i="1"/>
  <c r="L239" i="1"/>
  <c r="M260" i="1"/>
  <c r="M239" i="1"/>
  <c r="J287" i="1"/>
  <c r="J285" i="1"/>
  <c r="M280" i="1"/>
  <c r="M286" i="1" s="1"/>
  <c r="M227" i="1"/>
  <c r="K281" i="1"/>
  <c r="K284" i="1"/>
  <c r="L280" i="1"/>
  <c r="L286" i="1" s="1"/>
  <c r="L227" i="1"/>
  <c r="M221" i="1"/>
  <c r="M233" i="1"/>
  <c r="L221" i="1"/>
  <c r="L233" i="1"/>
  <c r="L255" i="1"/>
  <c r="L245" i="1"/>
  <c r="M255" i="1"/>
  <c r="M245" i="1"/>
  <c r="M275" i="1"/>
  <c r="M274" i="1"/>
  <c r="M271" i="1"/>
  <c r="L274" i="1"/>
  <c r="L271" i="1"/>
  <c r="L275" i="1"/>
  <c r="M250" i="1"/>
  <c r="M215" i="1"/>
  <c r="L250" i="1"/>
  <c r="L215" i="1"/>
  <c r="I313" i="1" l="1"/>
  <c r="I312" i="1"/>
  <c r="I363" i="1"/>
  <c r="I364" i="1" s="1"/>
  <c r="I318" i="1"/>
  <c r="I319" i="1" s="1"/>
  <c r="I314" i="1"/>
  <c r="J345" i="1"/>
  <c r="K345" i="1" s="1"/>
  <c r="L345" i="1" s="1"/>
  <c r="M345" i="1" s="1"/>
  <c r="J333" i="1"/>
  <c r="K303" i="1"/>
  <c r="K304" i="1" s="1"/>
  <c r="K282" i="1"/>
  <c r="J307" i="1"/>
  <c r="J311" i="1" s="1"/>
  <c r="J356" i="1" s="1"/>
  <c r="J361" i="1" s="1"/>
  <c r="I323" i="1"/>
  <c r="I344" i="1" s="1"/>
  <c r="I346" i="1" s="1"/>
  <c r="I352" i="1" s="1"/>
  <c r="I354" i="1" s="1"/>
  <c r="J308" i="1"/>
  <c r="I308" i="1"/>
  <c r="K287" i="1"/>
  <c r="K285" i="1"/>
  <c r="L281" i="1"/>
  <c r="L284" i="1"/>
  <c r="M281" i="1"/>
  <c r="M284" i="1"/>
  <c r="M282" i="1" s="1"/>
  <c r="M297" i="1" s="1"/>
  <c r="J313" i="1" l="1"/>
  <c r="J312" i="1"/>
  <c r="J363" i="1"/>
  <c r="J318" i="1"/>
  <c r="J319" i="1" s="1"/>
  <c r="J314" i="1"/>
  <c r="K305" i="1"/>
  <c r="K283" i="1"/>
  <c r="K297" i="1"/>
  <c r="R282" i="1"/>
  <c r="M283" i="1"/>
  <c r="Q282" i="1"/>
  <c r="L303" i="1"/>
  <c r="L304" i="1" s="1"/>
  <c r="L282" i="1"/>
  <c r="J323" i="1"/>
  <c r="J344" i="1" s="1"/>
  <c r="J346" i="1" s="1"/>
  <c r="J352" i="1" s="1"/>
  <c r="M303" i="1"/>
  <c r="R284" i="1"/>
  <c r="Q284" i="1"/>
  <c r="L287" i="1"/>
  <c r="L285" i="1"/>
  <c r="M285" i="1"/>
  <c r="M287" i="1"/>
  <c r="L305" i="1" l="1"/>
  <c r="J354" i="1"/>
  <c r="L307" i="1"/>
  <c r="L311" i="1" s="1"/>
  <c r="L356" i="1" s="1"/>
  <c r="L361" i="1" s="1"/>
  <c r="L333" i="1"/>
  <c r="K307" i="1"/>
  <c r="K333" i="1"/>
  <c r="L283" i="1"/>
  <c r="L297" i="1"/>
  <c r="M305" i="1"/>
  <c r="M304" i="1"/>
  <c r="L323" i="1" l="1"/>
  <c r="M307" i="1"/>
  <c r="M311" i="1" s="1"/>
  <c r="M356" i="1" s="1"/>
  <c r="M361" i="1" s="1"/>
  <c r="M333" i="1"/>
  <c r="K311" i="1"/>
  <c r="K356" i="1" s="1"/>
  <c r="K361" i="1" s="1"/>
  <c r="B370" i="1" s="1"/>
  <c r="K308" i="1"/>
  <c r="K323" i="1"/>
  <c r="K344" i="1" s="1"/>
  <c r="K346" i="1" s="1"/>
  <c r="K352" i="1" s="1"/>
  <c r="L308" i="1"/>
  <c r="L344" i="1"/>
  <c r="L346" i="1" s="1"/>
  <c r="L352" i="1" s="1"/>
  <c r="L313" i="1"/>
  <c r="L318" i="1"/>
  <c r="L363" i="1"/>
  <c r="L364" i="1" s="1"/>
  <c r="L314" i="1"/>
  <c r="M323" i="1"/>
  <c r="M344" i="1" s="1"/>
  <c r="M346" i="1" s="1"/>
  <c r="M352" i="1" s="1"/>
  <c r="M308" i="1"/>
  <c r="L353" i="1" l="1"/>
  <c r="L354" i="1"/>
  <c r="M353" i="1"/>
  <c r="M354" i="1"/>
  <c r="K354" i="1"/>
  <c r="K353" i="1"/>
  <c r="K313" i="1"/>
  <c r="K312" i="1"/>
  <c r="K318" i="1"/>
  <c r="K319" i="1" s="1"/>
  <c r="K363" i="1"/>
  <c r="K364" i="1" s="1"/>
  <c r="K314" i="1"/>
  <c r="L319" i="1"/>
  <c r="L312" i="1"/>
  <c r="M313" i="1"/>
  <c r="M312" i="1"/>
  <c r="M363" i="1"/>
  <c r="M318" i="1"/>
  <c r="M319" i="1" s="1"/>
  <c r="M314" i="1"/>
  <c r="B369" i="1" l="1"/>
  <c r="B371" i="1" s="1"/>
  <c r="M364" i="1"/>
  <c r="B373" i="1"/>
  <c r="B37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Dede Eyesan</author>
  </authors>
  <commentList>
    <comment ref="H59" authorId="0" shapeId="0" xr:uid="{08F0E99E-44B8-5F4C-812C-B616B8A2B9C8}">
      <text>
        <r>
          <rPr>
            <b/>
            <sz val="10"/>
            <color rgb="FF000000"/>
            <rFont val="Tahoma"/>
            <family val="2"/>
          </rPr>
          <t>Dede Eyesan: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Hurricane impact on Jamaican passenger flow</t>
        </r>
      </text>
    </comment>
    <comment ref="H93" authorId="0" shapeId="0" xr:uid="{FE5EDD75-CEAF-454F-BC12-D63B4C36EA00}">
      <text>
        <r>
          <rPr>
            <b/>
            <sz val="10"/>
            <color rgb="FF000000"/>
            <rFont val="Tahoma"/>
            <family val="2"/>
          </rPr>
          <t>Dede Eyesan: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Insourcing led to higher growth</t>
        </r>
      </text>
    </comment>
    <comment ref="H182" authorId="0" shapeId="0" xr:uid="{033FDB67-A66A-F84B-BF8F-A478C537F835}">
      <text>
        <r>
          <rPr>
            <b/>
            <sz val="10"/>
            <color rgb="FF000000"/>
            <rFont val="Tahoma"/>
            <family val="2"/>
          </rPr>
          <t>Dede Eyesan: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Car parking, convenience stores, VIP lounges, Hotel operation and advertising</t>
        </r>
      </text>
    </comment>
    <comment ref="J182" authorId="0" shapeId="0" xr:uid="{00CE5385-6712-8B4E-BE0B-12E5AB200351}">
      <text>
        <r>
          <rPr>
            <b/>
            <sz val="10"/>
            <color rgb="FF000000"/>
            <rFont val="Tahoma"/>
            <family val="2"/>
          </rPr>
          <t>Dede Eyesan: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I193" authorId="0" shapeId="0" xr:uid="{7C704B8E-4FFF-D741-BC3A-953F95107AB0}">
      <text>
        <r>
          <rPr>
            <b/>
            <sz val="10"/>
            <color rgb="FF000000"/>
            <rFont val="Tahoma"/>
            <family val="2"/>
          </rPr>
          <t>Dede Eyesan: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1st May - 31st December only</t>
        </r>
      </text>
    </comment>
    <comment ref="J193" authorId="0" shapeId="0" xr:uid="{C894CEFE-FE06-5C43-B243-1D9C527EC887}">
      <text>
        <r>
          <rPr>
            <b/>
            <sz val="10"/>
            <color rgb="FF000000"/>
            <rFont val="Tahoma"/>
            <family val="2"/>
          </rPr>
          <t>Dede Eyesan: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78% ticket sales and 18% parking. USD 158 million in 2025 with 68.7% EBITDA margin</t>
        </r>
      </text>
    </comment>
    <comment ref="I213" authorId="0" shapeId="0" xr:uid="{C34D3219-3948-D948-ADD7-240F64D51A4B}">
      <text>
        <r>
          <rPr>
            <b/>
            <sz val="10"/>
            <color rgb="FF000000"/>
            <rFont val="Tahoma"/>
            <family val="2"/>
          </rPr>
          <t>Dede Eyesan: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Incorporation of TAA and higher employee benefits
</t>
        </r>
      </text>
    </comment>
    <comment ref="I219" authorId="0" shapeId="0" xr:uid="{25727D52-0C0E-BB4D-8A38-C687119E8AA8}">
      <text>
        <r>
          <rPr>
            <b/>
            <sz val="10"/>
            <color rgb="FF000000"/>
            <rFont val="Tahoma"/>
            <family val="2"/>
          </rPr>
          <t>Dede Eyesan: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Incorporation of TAA and higher employee benefits
</t>
        </r>
      </text>
    </comment>
    <comment ref="I225" authorId="0" shapeId="0" xr:uid="{2B34ADD1-BEAB-B341-9D72-5C0D3C1B55BF}">
      <text>
        <r>
          <rPr>
            <b/>
            <sz val="10"/>
            <color rgb="FF000000"/>
            <rFont val="Tahoma"/>
            <family val="2"/>
          </rPr>
          <t>Dede Eyesan: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Incorporation of TAA and higher employee benefits
</t>
        </r>
      </text>
    </comment>
    <comment ref="L232" authorId="0" shapeId="0" xr:uid="{EB210A4C-20BB-A649-B8ED-1EDB9F3A6830}">
      <text>
        <r>
          <rPr>
            <b/>
            <sz val="10"/>
            <color rgb="FF000000"/>
            <rFont val="Tahoma"/>
            <family val="2"/>
          </rPr>
          <t>Dede Eyesan: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Guadalajara airport expansion leads to additional utilities costs
</t>
        </r>
      </text>
    </comment>
    <comment ref="I243" authorId="0" shapeId="0" xr:uid="{D1783223-1FFB-FC4B-BDF4-F732A96A8FA3}">
      <text>
        <r>
          <rPr>
            <b/>
            <sz val="10"/>
            <color rgb="FF000000"/>
            <rFont val="Tahoma"/>
            <family val="2"/>
          </rPr>
          <t>Dede Eyesan: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Reversal of past TAA accrued, acquisition removes this cost line.</t>
        </r>
      </text>
    </comment>
    <comment ref="I263" authorId="0" shapeId="0" xr:uid="{1349991F-BD2B-BD4B-BD09-99932B6D4B55}">
      <text>
        <r>
          <rPr>
            <b/>
            <sz val="10"/>
            <color rgb="FF000000"/>
            <rFont val="Tahoma"/>
            <family val="2"/>
          </rPr>
          <t>Dede Eyesan: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For simplicity, set to zero
</t>
        </r>
      </text>
    </comment>
    <comment ref="M269" authorId="0" shapeId="0" xr:uid="{60278ABD-DA40-944D-88F3-93D1E1BFE4C6}">
      <text>
        <r>
          <rPr>
            <b/>
            <sz val="10"/>
            <color rgb="FF000000"/>
            <rFont val="Tahoma"/>
            <family val="2"/>
          </rPr>
          <t>Dede Eyesan: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Assumes 65% EBITDA margins for CBX</t>
        </r>
      </text>
    </comment>
    <comment ref="H310" authorId="0" shapeId="0" xr:uid="{398B502C-ECC2-3F4B-8F67-F91D9E2A72B1}">
      <text>
        <r>
          <rPr>
            <b/>
            <sz val="10"/>
            <color rgb="FF000000"/>
            <rFont val="Tahoma"/>
            <family val="2"/>
          </rPr>
          <t>Dede Eyesan: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Montego Bay airport (25.5%) and Guadalajara World Trade Center (48.5%). Likely to grow faster than rest of other GAP businesses
</t>
        </r>
      </text>
    </comment>
    <comment ref="I350" authorId="0" shapeId="0" xr:uid="{38850CF7-A9B6-954C-8FC7-026B7033DC47}">
      <text>
        <r>
          <rPr>
            <b/>
            <sz val="10"/>
            <color rgb="FF000000"/>
            <rFont val="Tahoma"/>
            <family val="2"/>
          </rPr>
          <t xml:space="preserve">Dede Eyesan
</t>
        </r>
        <r>
          <rPr>
            <b/>
            <sz val="10"/>
            <color rgb="FF000000"/>
            <rFont val="Tahoma"/>
            <family val="2"/>
          </rPr>
          <t xml:space="preserve"> </t>
        </r>
        <r>
          <rPr>
            <sz val="10"/>
            <color rgb="FF000000"/>
            <rFont val="Tahoma"/>
            <family val="2"/>
          </rPr>
          <t xml:space="preserve">Gross figure, before cash received from CBX acquisition. </t>
        </r>
      </text>
    </comment>
  </commentList>
</comments>
</file>

<file path=xl/sharedStrings.xml><?xml version="1.0" encoding="utf-8"?>
<sst xmlns="http://schemas.openxmlformats.org/spreadsheetml/2006/main" count="363" uniqueCount="163">
  <si>
    <t>2019A</t>
  </si>
  <si>
    <t>2020A</t>
  </si>
  <si>
    <t>2021A</t>
  </si>
  <si>
    <t>2022A</t>
  </si>
  <si>
    <t>2023A</t>
  </si>
  <si>
    <t>2024A</t>
  </si>
  <si>
    <t>2025A</t>
  </si>
  <si>
    <t>2026E</t>
  </si>
  <si>
    <t>2027E</t>
  </si>
  <si>
    <t>2028E</t>
  </si>
  <si>
    <t>2029E</t>
  </si>
  <si>
    <t>2030E</t>
  </si>
  <si>
    <t>Guadalajara revenue</t>
  </si>
  <si>
    <t xml:space="preserve">Growth </t>
  </si>
  <si>
    <t>As a share of Mexican airports revenue</t>
  </si>
  <si>
    <t>Revenue per airport passenger</t>
  </si>
  <si>
    <t>Los Cabos revenue</t>
  </si>
  <si>
    <t>Tijuana revenue</t>
  </si>
  <si>
    <t>Puerto Vallarta revenue</t>
  </si>
  <si>
    <t>Other Mexican airports</t>
  </si>
  <si>
    <t>Total revenue</t>
  </si>
  <si>
    <t>Guadalajara passenger traffic</t>
  </si>
  <si>
    <t>As a share of Mexican passenger traffic</t>
  </si>
  <si>
    <t>Tijuana passenger traffic</t>
  </si>
  <si>
    <t>Los Cabos passenger traffic</t>
  </si>
  <si>
    <t>Puerto Vallarta passenger traffic</t>
  </si>
  <si>
    <t>Other passenger traffic</t>
  </si>
  <si>
    <t>Total passenger traffic</t>
  </si>
  <si>
    <t>Total Mexican air traffic movements</t>
  </si>
  <si>
    <t>Mexican total terminal passengers (excludes transit passengers)</t>
  </si>
  <si>
    <t>Jamaican total terminal passengers (excludes transit passengers)</t>
  </si>
  <si>
    <t>Total terminal passengers (excludes transit passengers)</t>
  </si>
  <si>
    <t>Total cargo units (Mexico and Jamaica)</t>
  </si>
  <si>
    <t>Aeronautical services revenue</t>
  </si>
  <si>
    <t>Passenger charges</t>
  </si>
  <si>
    <t>As a share of aeronautical revenue</t>
  </si>
  <si>
    <t>As a share of total revenue (excluding construction revenue)</t>
  </si>
  <si>
    <t>Per workload units (MXN)</t>
  </si>
  <si>
    <t>Aircraft landing charges</t>
  </si>
  <si>
    <t>Aircraft parking charges</t>
  </si>
  <si>
    <t>Airport security charges</t>
  </si>
  <si>
    <t>Passenger walkway charges</t>
  </si>
  <si>
    <t>Leasing walkway charges</t>
  </si>
  <si>
    <t>Revenue from complementary service providers</t>
  </si>
  <si>
    <t>Aeronautical services revenues</t>
  </si>
  <si>
    <t>As a share of total revenue</t>
  </si>
  <si>
    <t>Non-aeronautical services revenue</t>
  </si>
  <si>
    <t>Food and beverage operations</t>
  </si>
  <si>
    <t>As a share of non-aeronautical revenue</t>
  </si>
  <si>
    <t>Duty-free operations</t>
  </si>
  <si>
    <t>Car rentals</t>
  </si>
  <si>
    <t>Retail operations</t>
  </si>
  <si>
    <t>Leasing of space</t>
  </si>
  <si>
    <t>Timeshare of space</t>
  </si>
  <si>
    <t>Ground transportation</t>
  </si>
  <si>
    <t>Communications and financial services</t>
  </si>
  <si>
    <t>Other</t>
  </si>
  <si>
    <t>Total businesses operated by third parties</t>
  </si>
  <si>
    <t>Cargo operation and bonded warehouse</t>
  </si>
  <si>
    <t>Other Businesses operated by GAP</t>
  </si>
  <si>
    <t>Recovery of costs</t>
  </si>
  <si>
    <t>Total non-aeronautical services revenues</t>
  </si>
  <si>
    <t>Total revenue (excluding construction revenue)</t>
  </si>
  <si>
    <t>Cost of improvements to concession assets</t>
  </si>
  <si>
    <t>Total revenue (including construction assets)</t>
  </si>
  <si>
    <t>Operating costs</t>
  </si>
  <si>
    <t>Employee costs</t>
  </si>
  <si>
    <t>As a share of operating costs</t>
  </si>
  <si>
    <t>Maintenance</t>
  </si>
  <si>
    <t>Safety, security and insurance</t>
  </si>
  <si>
    <t>Utilities</t>
  </si>
  <si>
    <t>Technical assistance fees</t>
  </si>
  <si>
    <t>Concession taxes</t>
  </si>
  <si>
    <t>Depreciation</t>
  </si>
  <si>
    <t>Amortisation</t>
  </si>
  <si>
    <t>Other income net</t>
  </si>
  <si>
    <t>Total costs</t>
  </si>
  <si>
    <t>Total costs (including concession assets)</t>
  </si>
  <si>
    <t>Income from operations (EBIT)</t>
  </si>
  <si>
    <t>EBITDA margin (excluding concession assets)</t>
  </si>
  <si>
    <t>EBIT margin (excluding concession assets)</t>
  </si>
  <si>
    <t>EBIT margin (including concession assets)</t>
  </si>
  <si>
    <t>Finance income</t>
  </si>
  <si>
    <t>Finance cost</t>
  </si>
  <si>
    <t>Exchange loss, net</t>
  </si>
  <si>
    <t>Net finance cost</t>
  </si>
  <si>
    <t>Share of (loss) profit of associate</t>
  </si>
  <si>
    <t>Income before income taxes</t>
  </si>
  <si>
    <t>Income tax</t>
  </si>
  <si>
    <t>Income tax as a share of income before income taxes</t>
  </si>
  <si>
    <t>Net income before NCI</t>
  </si>
  <si>
    <t>Non-controlling interest</t>
  </si>
  <si>
    <t>Net income</t>
  </si>
  <si>
    <t>Net income margin (excluding construction assets)</t>
  </si>
  <si>
    <t>Exit multiple</t>
  </si>
  <si>
    <t>Diluted EPS</t>
  </si>
  <si>
    <t>Weighted Average Diluted Shares Outstanding</t>
  </si>
  <si>
    <t>Cash flow from Operations</t>
  </si>
  <si>
    <t>Net profit for the year</t>
  </si>
  <si>
    <t>Employee benefits</t>
  </si>
  <si>
    <t>Allowance expected credit loss</t>
  </si>
  <si>
    <t>Depreciation and amortisation</t>
  </si>
  <si>
    <t>Loss (gain) on sale of machinery, equipment and improvements to leased assets</t>
  </si>
  <si>
    <t>Share of loss (profit) of associate</t>
  </si>
  <si>
    <t>Net (gain) loss on derivative financial instruments</t>
  </si>
  <si>
    <t>Interest expense for financing activity</t>
  </si>
  <si>
    <t>Unrealised exchange loss (gain)</t>
  </si>
  <si>
    <t>Labor provisions</t>
  </si>
  <si>
    <t>Income tax expense</t>
  </si>
  <si>
    <t>Changes in:</t>
  </si>
  <si>
    <t>Trade accounts receivable</t>
  </si>
  <si>
    <t>Recoverable income tax and other current assets</t>
  </si>
  <si>
    <t>Concession taxes payable</t>
  </si>
  <si>
    <t>Aeropuertos Mexicanos del Pacifico, S.A.P.I de C.V. - related party</t>
  </si>
  <si>
    <t>Accounts payable</t>
  </si>
  <si>
    <t>Taxes payable</t>
  </si>
  <si>
    <t>Deposits received in guarantee</t>
  </si>
  <si>
    <t>Income taxes paid</t>
  </si>
  <si>
    <t>Net cash provided by operating activities</t>
  </si>
  <si>
    <t>Purchases of machinery, equipment, improvements on leased assets, improvements to concession assets and advance payments to suppliers</t>
  </si>
  <si>
    <t>Acquisition of subsidiary, net of cash acquired</t>
  </si>
  <si>
    <t>Free cash flow margin</t>
  </si>
  <si>
    <t>Dividend</t>
  </si>
  <si>
    <t xml:space="preserve">Dividend/Net income </t>
  </si>
  <si>
    <t>Share issuance</t>
  </si>
  <si>
    <t>Share repurchases</t>
  </si>
  <si>
    <t>Repurchases/Net income</t>
  </si>
  <si>
    <t>Net shareholder return after SBC</t>
  </si>
  <si>
    <t>Target Market Capitalisation</t>
  </si>
  <si>
    <t>Target Stock Price</t>
  </si>
  <si>
    <t>Key shareholder return data</t>
  </si>
  <si>
    <t xml:space="preserve">Date of investment </t>
  </si>
  <si>
    <t xml:space="preserve">Current Market Capitalisation </t>
  </si>
  <si>
    <t xml:space="preserve">2030E Exit Market Capitalisation </t>
  </si>
  <si>
    <t>Dividends + Buyback - SBC (2025 - 2030)</t>
  </si>
  <si>
    <t>Total shareholder return + market capitalisation</t>
  </si>
  <si>
    <t>Total Return (including dividends and share buybacks)</t>
  </si>
  <si>
    <t>IRR</t>
  </si>
  <si>
    <t>2019 - 2025 CAGR</t>
  </si>
  <si>
    <t>2022 - 2025 CAGR</t>
  </si>
  <si>
    <t>2025 - 2030 CAGR</t>
  </si>
  <si>
    <t>2026 - 2030 CAGR</t>
  </si>
  <si>
    <t>Mexican airports revenue</t>
  </si>
  <si>
    <t>Mexican passenger traffic</t>
  </si>
  <si>
    <t>Other GAP KPI data</t>
  </si>
  <si>
    <t>CBX costs</t>
  </si>
  <si>
    <t xml:space="preserve">Cash balance </t>
  </si>
  <si>
    <t>Finance cost yield</t>
  </si>
  <si>
    <t>Finance income yield</t>
  </si>
  <si>
    <t>Debt balance</t>
  </si>
  <si>
    <t>Net debt/EBITDA</t>
  </si>
  <si>
    <t>EBITDA (excluding concession assets)</t>
  </si>
  <si>
    <t>Net income margin (including construction assets)</t>
  </si>
  <si>
    <t>Committed Master Development Program investments</t>
  </si>
  <si>
    <t>NA</t>
  </si>
  <si>
    <t>NM</t>
  </si>
  <si>
    <t>Total workload units</t>
  </si>
  <si>
    <t>Revenue from improvements to concession assets</t>
  </si>
  <si>
    <t>Cash generated by operating activities</t>
  </si>
  <si>
    <t>Average Mexican passengers per air traffic (#)</t>
  </si>
  <si>
    <t>CBX revenue</t>
  </si>
  <si>
    <t xml:space="preserve">Free cash flow </t>
  </si>
  <si>
    <t xml:space="preserve">For the Fiscal Period Ending (MXN millions, unless otherwise stated)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</si>
</sst>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0.0_);\(#,##0.0\)"/>
    <numFmt numFmtId="165" formatCode="#,##0.000_);\(#,##0.000\)"/>
    <numFmt numFmtId="166" formatCode="#,##0.0"/>
    <numFmt numFmtId="167" formatCode="#,##0.0\x"/>
    <numFmt numFmtId="168" formatCode="_(* #,##0.0#_);_(* \(#,##0.0#\)_)\ ;_(* 0_)"/>
    <numFmt numFmtId="169" formatCode="_(* #,##0.0_);_(* \(#,##0.0\)_)\ ;_(* 0_)"/>
    <numFmt numFmtId="170" formatCode="_(#,##0.0%_);_(\(#,##0.0%\)_);_(#,##0.0%_)"/>
    <numFmt numFmtId="171" formatCode="mmm\-dd\-yyyy"/>
    <numFmt numFmtId="172" formatCode="[$$-C09]#,##0.00;\-[$$-C09]#,##0.00"/>
    <numFmt numFmtId="173" formatCode="0.000%"/>
    <numFmt numFmtId="174" formatCode="0.0000%"/>
  </numFmts>
  <fonts count="15" x14ac:knownFonts="1">
    <font>
      <sz val="10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7"/>
      <color rgb="FF7030A0"/>
      <name val="Arial"/>
      <family val="2"/>
    </font>
    <font>
      <sz val="7"/>
      <color theme="1"/>
      <name val="Arial"/>
      <family val="2"/>
    </font>
    <font>
      <sz val="7"/>
      <color rgb="FF7030A0"/>
      <name val="Arial"/>
      <family val="2"/>
    </font>
    <font>
      <b/>
      <i/>
      <sz val="7"/>
      <color rgb="FF7030A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right"/>
    </xf>
    <xf numFmtId="0" fontId="3" fillId="0" borderId="0" xfId="0" applyFont="1"/>
    <xf numFmtId="0" fontId="4" fillId="3" borderId="0" xfId="0" applyFont="1" applyFill="1" applyAlignment="1">
      <alignment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right"/>
    </xf>
    <xf numFmtId="0" fontId="5" fillId="0" borderId="0" xfId="0" applyFont="1"/>
    <xf numFmtId="164" fontId="5" fillId="0" borderId="0" xfId="0" applyNumberFormat="1" applyFont="1" applyAlignment="1">
      <alignment wrapText="1"/>
    </xf>
    <xf numFmtId="164" fontId="5" fillId="0" borderId="0" xfId="0" applyNumberFormat="1" applyFont="1" applyAlignment="1">
      <alignment horizontal="right"/>
    </xf>
    <xf numFmtId="164" fontId="5" fillId="0" borderId="0" xfId="0" applyNumberFormat="1" applyFont="1"/>
    <xf numFmtId="10" fontId="6" fillId="0" borderId="0" xfId="0" applyNumberFormat="1" applyFont="1" applyAlignment="1">
      <alignment wrapText="1"/>
    </xf>
    <xf numFmtId="10" fontId="6" fillId="0" borderId="0" xfId="0" applyNumberFormat="1" applyFont="1" applyAlignment="1">
      <alignment horizontal="right" wrapText="1"/>
    </xf>
    <xf numFmtId="10" fontId="6" fillId="0" borderId="0" xfId="0" applyNumberFormat="1" applyFont="1" applyAlignment="1">
      <alignment horizontal="right"/>
    </xf>
    <xf numFmtId="10" fontId="6" fillId="0" borderId="0" xfId="0" applyNumberFormat="1" applyFont="1"/>
    <xf numFmtId="164" fontId="6" fillId="0" borderId="0" xfId="0" applyNumberFormat="1" applyFont="1" applyAlignment="1">
      <alignment horizontal="right" wrapText="1"/>
    </xf>
    <xf numFmtId="164" fontId="7" fillId="0" borderId="0" xfId="0" applyNumberFormat="1" applyFont="1"/>
    <xf numFmtId="164" fontId="4" fillId="0" borderId="0" xfId="0" applyNumberFormat="1" applyFont="1" applyAlignment="1">
      <alignment wrapText="1"/>
    </xf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/>
    <xf numFmtId="165" fontId="5" fillId="0" borderId="0" xfId="0" applyNumberFormat="1" applyFont="1" applyAlignment="1">
      <alignment horizontal="right" wrapText="1"/>
    </xf>
    <xf numFmtId="164" fontId="4" fillId="3" borderId="0" xfId="0" applyNumberFormat="1" applyFont="1" applyFill="1" applyAlignment="1">
      <alignment wrapText="1"/>
    </xf>
    <xf numFmtId="164" fontId="6" fillId="0" borderId="0" xfId="0" applyNumberFormat="1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166" fontId="6" fillId="0" borderId="0" xfId="0" applyNumberFormat="1" applyFont="1" applyAlignment="1">
      <alignment wrapText="1"/>
    </xf>
    <xf numFmtId="10" fontId="5" fillId="0" borderId="0" xfId="0" applyNumberFormat="1" applyFont="1"/>
    <xf numFmtId="164" fontId="6" fillId="0" borderId="0" xfId="0" applyNumberFormat="1" applyFont="1" applyAlignment="1">
      <alignment horizontal="right"/>
    </xf>
    <xf numFmtId="164" fontId="6" fillId="0" borderId="0" xfId="0" applyNumberFormat="1" applyFont="1"/>
    <xf numFmtId="0" fontId="5" fillId="0" borderId="0" xfId="0" applyFont="1" applyAlignment="1">
      <alignment wrapText="1"/>
    </xf>
    <xf numFmtId="10" fontId="8" fillId="0" borderId="0" xfId="0" applyNumberFormat="1" applyFont="1"/>
    <xf numFmtId="164" fontId="4" fillId="3" borderId="0" xfId="0" applyNumberFormat="1" applyFont="1" applyFill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10" fontId="9" fillId="3" borderId="0" xfId="0" applyNumberFormat="1" applyFont="1" applyFill="1" applyAlignment="1">
      <alignment wrapText="1"/>
    </xf>
    <xf numFmtId="10" fontId="9" fillId="3" borderId="0" xfId="0" applyNumberFormat="1" applyFont="1" applyFill="1" applyAlignment="1">
      <alignment horizontal="right" wrapText="1"/>
    </xf>
    <xf numFmtId="0" fontId="10" fillId="0" borderId="0" xfId="1" applyFont="1" applyAlignment="1">
      <alignment horizontal="left" vertical="top"/>
    </xf>
    <xf numFmtId="167" fontId="5" fillId="0" borderId="0" xfId="0" applyNumberFormat="1" applyFont="1" applyAlignment="1">
      <alignment horizontal="right" wrapText="1"/>
    </xf>
    <xf numFmtId="167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left" wrapText="1"/>
    </xf>
    <xf numFmtId="164" fontId="10" fillId="0" borderId="0" xfId="0" applyNumberFormat="1" applyFont="1" applyAlignment="1">
      <alignment horizontal="left" vertical="top"/>
    </xf>
    <xf numFmtId="164" fontId="10" fillId="0" borderId="0" xfId="0" applyNumberFormat="1" applyFont="1" applyAlignment="1">
      <alignment horizontal="right" vertical="top" wrapText="1"/>
    </xf>
    <xf numFmtId="164" fontId="10" fillId="0" borderId="0" xfId="0" applyNumberFormat="1" applyFont="1" applyAlignment="1">
      <alignment horizontal="right" vertical="top"/>
    </xf>
    <xf numFmtId="164" fontId="11" fillId="0" borderId="0" xfId="0" applyNumberFormat="1" applyFont="1" applyAlignment="1">
      <alignment horizontal="left" vertical="top"/>
    </xf>
    <xf numFmtId="164" fontId="11" fillId="0" borderId="0" xfId="0" applyNumberFormat="1" applyFont="1" applyAlignment="1">
      <alignment horizontal="right" vertical="top"/>
    </xf>
    <xf numFmtId="0" fontId="12" fillId="0" borderId="0" xfId="0" applyFont="1"/>
    <xf numFmtId="0" fontId="11" fillId="3" borderId="0" xfId="0" applyFont="1" applyFill="1" applyAlignment="1">
      <alignment horizontal="left" vertical="top"/>
    </xf>
    <xf numFmtId="10" fontId="6" fillId="0" borderId="0" xfId="1" applyNumberFormat="1" applyFont="1" applyAlignment="1">
      <alignment horizontal="left" vertical="top"/>
    </xf>
    <xf numFmtId="0" fontId="10" fillId="0" borderId="0" xfId="0" applyFont="1" applyAlignment="1">
      <alignment horizontal="left" vertical="top"/>
    </xf>
    <xf numFmtId="10" fontId="10" fillId="0" borderId="0" xfId="1" applyNumberFormat="1" applyFont="1" applyAlignment="1">
      <alignment horizontal="left" vertical="top"/>
    </xf>
    <xf numFmtId="10" fontId="6" fillId="0" borderId="0" xfId="0" applyNumberFormat="1" applyFont="1" applyAlignment="1">
      <alignment horizontal="right" vertical="top" wrapText="1"/>
    </xf>
    <xf numFmtId="164" fontId="3" fillId="0" borderId="0" xfId="0" applyNumberFormat="1" applyFont="1"/>
    <xf numFmtId="169" fontId="10" fillId="0" borderId="0" xfId="0" applyNumberFormat="1" applyFont="1" applyAlignment="1">
      <alignment horizontal="right" vertical="top" wrapText="1"/>
    </xf>
    <xf numFmtId="10" fontId="11" fillId="0" borderId="0" xfId="1" applyNumberFormat="1" applyFont="1" applyAlignment="1">
      <alignment horizontal="left" vertical="top"/>
    </xf>
    <xf numFmtId="164" fontId="11" fillId="0" borderId="0" xfId="0" applyNumberFormat="1" applyFont="1" applyAlignment="1">
      <alignment horizontal="right" vertical="top" wrapText="1"/>
    </xf>
    <xf numFmtId="170" fontId="10" fillId="0" borderId="0" xfId="0" applyNumberFormat="1" applyFont="1" applyAlignment="1">
      <alignment horizontal="right" vertical="top" wrapText="1"/>
    </xf>
    <xf numFmtId="10" fontId="11" fillId="3" borderId="0" xfId="1" applyNumberFormat="1" applyFont="1" applyFill="1" applyAlignment="1">
      <alignment horizontal="left" vertical="top"/>
    </xf>
    <xf numFmtId="2" fontId="12" fillId="3" borderId="0" xfId="1" applyNumberFormat="1" applyFont="1" applyFill="1" applyAlignment="1">
      <alignment horizontal="centerContinuous" vertical="top"/>
    </xf>
    <xf numFmtId="10" fontId="12" fillId="0" borderId="0" xfId="1" applyNumberFormat="1" applyFont="1" applyAlignment="1">
      <alignment vertical="top"/>
    </xf>
    <xf numFmtId="14" fontId="11" fillId="0" borderId="0" xfId="0" applyNumberFormat="1" applyFont="1" applyAlignment="1">
      <alignment horizontal="right" vertical="top" wrapText="1"/>
    </xf>
    <xf numFmtId="171" fontId="10" fillId="0" borderId="0" xfId="0" applyNumberFormat="1" applyFont="1" applyAlignment="1">
      <alignment horizontal="right" vertical="top" wrapText="1"/>
    </xf>
    <xf numFmtId="49" fontId="10" fillId="0" borderId="0" xfId="0" applyNumberFormat="1" applyFont="1" applyAlignment="1">
      <alignment horizontal="right" vertical="top" wrapText="1"/>
    </xf>
    <xf numFmtId="10" fontId="11" fillId="3" borderId="0" xfId="1" applyNumberFormat="1" applyFont="1" applyFill="1" applyAlignment="1">
      <alignment horizontal="left" vertical="top" wrapText="1"/>
    </xf>
    <xf numFmtId="10" fontId="10" fillId="0" borderId="0" xfId="0" applyNumberFormat="1" applyFont="1" applyAlignment="1">
      <alignment horizontal="right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10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right" wrapText="1"/>
    </xf>
    <xf numFmtId="166" fontId="6" fillId="0" borderId="0" xfId="0" applyNumberFormat="1" applyFont="1" applyAlignment="1">
      <alignment horizontal="right"/>
    </xf>
    <xf numFmtId="166" fontId="6" fillId="0" borderId="0" xfId="0" applyNumberFormat="1" applyFont="1"/>
    <xf numFmtId="10" fontId="7" fillId="0" borderId="0" xfId="0" applyNumberFormat="1" applyFont="1"/>
    <xf numFmtId="10" fontId="6" fillId="3" borderId="0" xfId="0" applyNumberFormat="1" applyFont="1" applyFill="1" applyAlignment="1">
      <alignment wrapText="1"/>
    </xf>
    <xf numFmtId="39" fontId="5" fillId="0" borderId="0" xfId="0" applyNumberFormat="1" applyFont="1" applyAlignment="1">
      <alignment horizontal="right" wrapText="1"/>
    </xf>
    <xf numFmtId="172" fontId="10" fillId="0" borderId="0" xfId="1" applyNumberFormat="1" applyFont="1" applyAlignment="1">
      <alignment horizontal="left" vertical="top"/>
    </xf>
    <xf numFmtId="172" fontId="10" fillId="0" borderId="0" xfId="0" applyNumberFormat="1" applyFont="1" applyAlignment="1">
      <alignment horizontal="right" vertical="top" wrapText="1"/>
    </xf>
    <xf numFmtId="172" fontId="5" fillId="0" borderId="0" xfId="0" applyNumberFormat="1" applyFont="1" applyAlignment="1">
      <alignment horizontal="right"/>
    </xf>
    <xf numFmtId="172" fontId="5" fillId="0" borderId="0" xfId="0" applyNumberFormat="1" applyFont="1"/>
    <xf numFmtId="10" fontId="6" fillId="3" borderId="0" xfId="0" applyNumberFormat="1" applyFont="1" applyFill="1" applyAlignment="1">
      <alignment horizontal="right" wrapText="1"/>
    </xf>
    <xf numFmtId="173" fontId="5" fillId="0" borderId="0" xfId="0" applyNumberFormat="1" applyFont="1" applyAlignment="1">
      <alignment horizontal="right" wrapText="1"/>
    </xf>
    <xf numFmtId="10" fontId="9" fillId="0" borderId="0" xfId="0" applyNumberFormat="1" applyFont="1" applyAlignment="1">
      <alignment wrapText="1"/>
    </xf>
    <xf numFmtId="10" fontId="9" fillId="0" borderId="0" xfId="0" applyNumberFormat="1" applyFont="1" applyAlignment="1">
      <alignment horizontal="right" wrapText="1"/>
    </xf>
    <xf numFmtId="167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left" vertical="top"/>
    </xf>
    <xf numFmtId="164" fontId="6" fillId="0" borderId="0" xfId="0" applyNumberFormat="1" applyFont="1" applyAlignment="1">
      <alignment horizontal="right" vertical="top" wrapText="1"/>
    </xf>
    <xf numFmtId="0" fontId="6" fillId="0" borderId="0" xfId="0" applyFont="1"/>
    <xf numFmtId="174" fontId="5" fillId="0" borderId="0" xfId="0" applyNumberFormat="1" applyFont="1" applyAlignment="1">
      <alignment horizontal="right" wrapText="1"/>
    </xf>
    <xf numFmtId="168" fontId="11" fillId="3" borderId="0" xfId="0" applyNumberFormat="1" applyFont="1" applyFill="1" applyAlignment="1">
      <alignment horizontal="right" vertical="top" wrapText="1"/>
    </xf>
    <xf numFmtId="10" fontId="9" fillId="3" borderId="0" xfId="1" applyNumberFormat="1" applyFont="1" applyFill="1" applyAlignment="1">
      <alignment horizontal="left" vertical="top"/>
    </xf>
    <xf numFmtId="10" fontId="9" fillId="3" borderId="0" xfId="0" applyNumberFormat="1" applyFont="1" applyFill="1" applyAlignment="1">
      <alignment horizontal="right" vertical="top"/>
    </xf>
  </cellXfs>
  <cellStyles count="2">
    <cellStyle name="Normal" xfId="0" builtinId="0"/>
    <cellStyle name="Normal 2" xfId="1" xr:uid="{4E2FC523-D2AB-5B4C-A064-5F0C5E3C49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4C93C6D-125C-754F-A7B7-C7AA2E9E932A}">
  <we:reference id="wa200010215" version="2.0.0.0" store="en-US" storeType="OMEX"/>
  <we:alternateReferences>
    <we:reference id="wa200010215" version="2.0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7951D-B1EE-7C4F-8589-953BD840E995}">
  <sheetPr>
    <outlinePr summaryBelow="0" summaryRight="0"/>
    <pageSetUpPr autoPageBreaks="0"/>
  </sheetPr>
  <dimension ref="A1:R382"/>
  <sheetViews>
    <sheetView tabSelected="1" zoomScale="195" zoomScaleNormal="195" workbookViewId="0">
      <pane ySplit="1" topLeftCell="A181" activePane="bottomLeft" state="frozen"/>
      <selection pane="bottomLeft" activeCell="M202" sqref="M202"/>
    </sheetView>
  </sheetViews>
  <sheetFormatPr baseColWidth="10" defaultRowHeight="11" x14ac:dyDescent="0.15"/>
  <cols>
    <col min="1" max="1" width="32.1640625" style="4" customWidth="1"/>
    <col min="2" max="2" width="12.1640625" style="4" customWidth="1"/>
    <col min="3" max="3" width="10.33203125" style="4" customWidth="1"/>
    <col min="4" max="4" width="8.83203125" style="4" customWidth="1"/>
    <col min="5" max="5" width="9.1640625" style="4" customWidth="1"/>
    <col min="6" max="6" width="9.5" style="4" customWidth="1"/>
    <col min="7" max="7" width="10" style="4" customWidth="1"/>
    <col min="8" max="8" width="9" style="4" customWidth="1"/>
    <col min="9" max="256" width="8.83203125" style="4" customWidth="1"/>
    <col min="257" max="16384" width="10.83203125" style="4"/>
  </cols>
  <sheetData>
    <row r="1" spans="1:18" ht="36" x14ac:dyDescent="0.15">
      <c r="A1" s="1" t="s">
        <v>162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O1" s="1" t="s">
        <v>138</v>
      </c>
      <c r="P1" s="1" t="s">
        <v>139</v>
      </c>
      <c r="Q1" s="1" t="s">
        <v>140</v>
      </c>
      <c r="R1" s="1" t="s">
        <v>141</v>
      </c>
    </row>
    <row r="2" spans="1:18" s="9" customFormat="1" ht="12" x14ac:dyDescent="0.15">
      <c r="A2" s="5" t="s">
        <v>142</v>
      </c>
      <c r="B2" s="6"/>
      <c r="C2" s="6"/>
      <c r="D2" s="6"/>
      <c r="E2" s="6"/>
      <c r="F2" s="7"/>
      <c r="G2" s="7"/>
      <c r="H2" s="7"/>
      <c r="I2" s="8"/>
      <c r="J2" s="8"/>
      <c r="K2" s="8"/>
      <c r="L2" s="8"/>
      <c r="M2" s="8"/>
    </row>
    <row r="3" spans="1:18" s="12" customFormat="1" ht="12" x14ac:dyDescent="0.15">
      <c r="A3" s="10" t="s">
        <v>12</v>
      </c>
      <c r="B3" s="6">
        <v>3917.0619999999999</v>
      </c>
      <c r="C3" s="6">
        <v>2695.364</v>
      </c>
      <c r="D3" s="6">
        <v>4079.672</v>
      </c>
      <c r="E3" s="6">
        <v>5439.2209999999995</v>
      </c>
      <c r="F3" s="6">
        <v>6307.9489999999996</v>
      </c>
      <c r="G3" s="6">
        <v>6689.6170000000002</v>
      </c>
      <c r="H3" s="6">
        <v>8000.6229999999996</v>
      </c>
      <c r="I3" s="11">
        <f>I6*I33</f>
        <v>8824.9279077460687</v>
      </c>
      <c r="J3" s="11">
        <f t="shared" ref="J3:M3" si="0">J6*J33</f>
        <v>9606.5054416636212</v>
      </c>
      <c r="K3" s="11">
        <f t="shared" si="0"/>
        <v>10564.951100701013</v>
      </c>
      <c r="L3" s="11">
        <f t="shared" si="0"/>
        <v>11832.023118377403</v>
      </c>
      <c r="M3" s="11">
        <f t="shared" si="0"/>
        <v>13356.692293001111</v>
      </c>
      <c r="O3" s="29">
        <f>(H3/B3)^(1/6)-1</f>
        <v>0.12640324631188049</v>
      </c>
      <c r="P3" s="29">
        <f>(H3/E3)^(1/3)-1</f>
        <v>0.13726681594227741</v>
      </c>
      <c r="Q3" s="29">
        <f>(M3/H3)^(1/5)-1</f>
        <v>0.10793688996724105</v>
      </c>
      <c r="R3" s="29">
        <f>(M3/I3)^(1/4)-1</f>
        <v>0.10916699676233099</v>
      </c>
    </row>
    <row r="4" spans="1:18" s="16" customFormat="1" ht="12" x14ac:dyDescent="0.15">
      <c r="A4" s="13" t="s">
        <v>13</v>
      </c>
      <c r="B4" s="14"/>
      <c r="C4" s="14">
        <f t="shared" ref="C4:F4" si="1">(C3/B3)-1</f>
        <v>-0.311891412492322</v>
      </c>
      <c r="D4" s="14">
        <f t="shared" si="1"/>
        <v>0.51358851717244858</v>
      </c>
      <c r="E4" s="14">
        <f t="shared" si="1"/>
        <v>0.33324958477054034</v>
      </c>
      <c r="F4" s="14">
        <f t="shared" si="1"/>
        <v>0.15971551808613782</v>
      </c>
      <c r="G4" s="14">
        <f>(G3/F3)-1</f>
        <v>6.0505879169283183E-2</v>
      </c>
      <c r="H4" s="14">
        <f>(H3/G3)-1</f>
        <v>0.19597624198814367</v>
      </c>
      <c r="I4" s="14">
        <f t="shared" ref="I4:M4" si="2">(I3/H3)-1</f>
        <v>0.10303008999999985</v>
      </c>
      <c r="J4" s="14">
        <f t="shared" si="2"/>
        <v>8.856474999999997E-2</v>
      </c>
      <c r="K4" s="14">
        <f t="shared" si="2"/>
        <v>9.9770480000000106E-2</v>
      </c>
      <c r="L4" s="14">
        <f t="shared" si="2"/>
        <v>0.11993165000000006</v>
      </c>
      <c r="M4" s="14">
        <f t="shared" si="2"/>
        <v>0.12885955000000004</v>
      </c>
    </row>
    <row r="5" spans="1:18" s="16" customFormat="1" ht="12" x14ac:dyDescent="0.15">
      <c r="A5" s="13" t="s">
        <v>14</v>
      </c>
      <c r="B5" s="14">
        <f t="shared" ref="B5:H5" si="3">B3/B28</f>
        <v>0.32547840704730613</v>
      </c>
      <c r="C5" s="14">
        <f t="shared" si="3"/>
        <v>0.33016305279837571</v>
      </c>
      <c r="D5" s="14">
        <f t="shared" si="3"/>
        <v>0.30626857559398735</v>
      </c>
      <c r="E5" s="14">
        <f t="shared" si="3"/>
        <v>0.29912305347628843</v>
      </c>
      <c r="F5" s="14">
        <f t="shared" si="3"/>
        <v>0.30936966059598181</v>
      </c>
      <c r="G5" s="14">
        <f t="shared" si="3"/>
        <v>0.32869481867217282</v>
      </c>
      <c r="H5" s="14">
        <f t="shared" si="3"/>
        <v>0.32963117679178389</v>
      </c>
      <c r="I5" s="14">
        <f t="shared" ref="I5:M5" si="4">I3/I28</f>
        <v>0.35445389729471594</v>
      </c>
      <c r="J5" s="14">
        <f t="shared" si="4"/>
        <v>0.36243395441257309</v>
      </c>
      <c r="K5" s="14">
        <f t="shared" si="4"/>
        <v>0.36106654516751169</v>
      </c>
      <c r="L5" s="14">
        <f t="shared" si="4"/>
        <v>0.36595208615518449</v>
      </c>
      <c r="M5" s="14">
        <f t="shared" si="4"/>
        <v>0.37028268735146147</v>
      </c>
    </row>
    <row r="6" spans="1:18" s="16" customFormat="1" ht="12" x14ac:dyDescent="0.15">
      <c r="A6" s="13" t="s">
        <v>15</v>
      </c>
      <c r="B6" s="17">
        <f t="shared" ref="B6:H6" si="5">B3/B33</f>
        <v>263.56562649943896</v>
      </c>
      <c r="C6" s="17">
        <f t="shared" si="5"/>
        <v>331.18178208011574</v>
      </c>
      <c r="D6" s="17">
        <f t="shared" si="5"/>
        <v>332.76315872113076</v>
      </c>
      <c r="E6" s="17">
        <f t="shared" si="5"/>
        <v>348.21145403328222</v>
      </c>
      <c r="F6" s="17">
        <f t="shared" si="5"/>
        <v>355.95889487977087</v>
      </c>
      <c r="G6" s="17">
        <f t="shared" si="5"/>
        <v>374.1778871923882</v>
      </c>
      <c r="H6" s="17">
        <f t="shared" si="5"/>
        <v>426.12670178422934</v>
      </c>
      <c r="I6" s="17">
        <f>H6*(1+I7)</f>
        <v>451.82214190181838</v>
      </c>
      <c r="J6" s="17">
        <f t="shared" ref="J6:M6" si="6">I6*(1+J7)</f>
        <v>476.35608420708712</v>
      </c>
      <c r="K6" s="17">
        <f t="shared" si="6"/>
        <v>500.07861720060009</v>
      </c>
      <c r="L6" s="17">
        <f t="shared" si="6"/>
        <v>525.13255592235021</v>
      </c>
      <c r="M6" s="17">
        <f t="shared" si="6"/>
        <v>549.5512197727395</v>
      </c>
      <c r="O6" s="29">
        <f>(H6/B6)^(1/6)-1</f>
        <v>8.3365487891337908E-2</v>
      </c>
      <c r="P6" s="29">
        <f>(H6/E6)^(1/3)-1</f>
        <v>6.9625871043065946E-2</v>
      </c>
      <c r="Q6" s="29">
        <f>(M6/H6)^(1/5)-1</f>
        <v>5.2189310848629988E-2</v>
      </c>
      <c r="R6" s="29">
        <f>(M6/I6)^(1/4)-1</f>
        <v>5.0171351245644091E-2</v>
      </c>
    </row>
    <row r="7" spans="1:18" s="16" customFormat="1" ht="12" x14ac:dyDescent="0.15">
      <c r="A7" s="13" t="s">
        <v>13</v>
      </c>
      <c r="B7" s="14"/>
      <c r="C7" s="14">
        <f t="shared" ref="C7" si="7">(C6/B6)-1</f>
        <v>0.25654390702886554</v>
      </c>
      <c r="D7" s="14">
        <f t="shared" ref="D7" si="8">(D6/C6)-1</f>
        <v>4.7749505757308519E-3</v>
      </c>
      <c r="E7" s="14">
        <f t="shared" ref="E7" si="9">(E6/D6)-1</f>
        <v>4.6424295801019699E-2</v>
      </c>
      <c r="F7" s="14">
        <f t="shared" ref="F7" si="10">(F6/E6)-1</f>
        <v>2.2249241823470101E-2</v>
      </c>
      <c r="G7" s="14">
        <f>(G6/F6)-1</f>
        <v>5.1182854466302885E-2</v>
      </c>
      <c r="H7" s="14">
        <f>(H6/G6)-1</f>
        <v>0.13883453931934531</v>
      </c>
      <c r="I7" s="14">
        <v>6.0299999999999999E-2</v>
      </c>
      <c r="J7" s="14">
        <v>5.4300000000000001E-2</v>
      </c>
      <c r="K7" s="14">
        <v>4.9799999999999997E-2</v>
      </c>
      <c r="L7" s="14">
        <v>5.0099999999999999E-2</v>
      </c>
      <c r="M7" s="14">
        <v>4.65E-2</v>
      </c>
    </row>
    <row r="8" spans="1:18" s="12" customFormat="1" ht="12" x14ac:dyDescent="0.15">
      <c r="A8" s="10" t="s">
        <v>16</v>
      </c>
      <c r="B8" s="6">
        <v>2152.17</v>
      </c>
      <c r="C8" s="6">
        <v>1431.961</v>
      </c>
      <c r="D8" s="6">
        <v>2842.6669999999999</v>
      </c>
      <c r="E8" s="6">
        <v>3804.645</v>
      </c>
      <c r="F8" s="6">
        <v>4101.2030000000004</v>
      </c>
      <c r="G8" s="6">
        <v>4024.7829999999999</v>
      </c>
      <c r="H8" s="6">
        <v>4680.7190000000001</v>
      </c>
      <c r="I8" s="11">
        <f>I11*I36</f>
        <v>4711.3318852109905</v>
      </c>
      <c r="J8" s="11">
        <f t="shared" ref="J8:M8" si="11">J11*J36</f>
        <v>4853.9171410112194</v>
      </c>
      <c r="K8" s="11">
        <f t="shared" si="11"/>
        <v>5407.6462322963816</v>
      </c>
      <c r="L8" s="11">
        <f t="shared" si="11"/>
        <v>5979.4943846044953</v>
      </c>
      <c r="M8" s="11">
        <f t="shared" si="11"/>
        <v>6715.5511883521094</v>
      </c>
      <c r="O8" s="29">
        <f>(H8/B8)^(1/6)-1</f>
        <v>0.13825438677640789</v>
      </c>
      <c r="P8" s="29">
        <f>(H8/E8)^(1/3)-1</f>
        <v>7.1518013546540304E-2</v>
      </c>
      <c r="Q8" s="29">
        <f>(M8/H8)^(1/5)-1</f>
        <v>7.4864745828261414E-2</v>
      </c>
      <c r="R8" s="29">
        <f>(M8/I8)^(1/4)-1</f>
        <v>9.2658607436151508E-2</v>
      </c>
    </row>
    <row r="9" spans="1:18" s="16" customFormat="1" ht="12" x14ac:dyDescent="0.15">
      <c r="A9" s="13" t="s">
        <v>13</v>
      </c>
      <c r="B9" s="14"/>
      <c r="C9" s="14">
        <f t="shared" ref="C9:F9" si="12">(C8/B8)-1</f>
        <v>-0.33464317409870037</v>
      </c>
      <c r="D9" s="14">
        <f t="shared" si="12"/>
        <v>0.98515671865365051</v>
      </c>
      <c r="E9" s="14">
        <f t="shared" si="12"/>
        <v>0.33840685525247949</v>
      </c>
      <c r="F9" s="14">
        <f t="shared" si="12"/>
        <v>7.7946299851891609E-2</v>
      </c>
      <c r="G9" s="14">
        <f>(G8/F8)-1</f>
        <v>-1.8633557031924708E-2</v>
      </c>
      <c r="H9" s="14">
        <f>(H8/G8)-1</f>
        <v>0.16297425227645812</v>
      </c>
      <c r="I9" s="14">
        <f t="shared" ref="I9:M9" si="13">(I8/H8)-1</f>
        <v>6.5402100000000463E-3</v>
      </c>
      <c r="J9" s="14">
        <f t="shared" si="13"/>
        <v>3.0264320000000122E-2</v>
      </c>
      <c r="K9" s="14">
        <f t="shared" si="13"/>
        <v>0.11407881000000009</v>
      </c>
      <c r="L9" s="14">
        <f t="shared" si="13"/>
        <v>0.10574806999999997</v>
      </c>
      <c r="M9" s="14">
        <f t="shared" si="13"/>
        <v>0.12309682999999993</v>
      </c>
    </row>
    <row r="10" spans="1:18" s="18" customFormat="1" ht="12" x14ac:dyDescent="0.15">
      <c r="A10" s="13" t="s">
        <v>14</v>
      </c>
      <c r="B10" s="14">
        <f t="shared" ref="B10:H10" si="14">B8/B28</f>
        <v>0.1788291488097459</v>
      </c>
      <c r="C10" s="14">
        <f t="shared" si="14"/>
        <v>0.17540510864143577</v>
      </c>
      <c r="D10" s="14">
        <f t="shared" si="14"/>
        <v>0.21340430627217905</v>
      </c>
      <c r="E10" s="14">
        <f t="shared" si="14"/>
        <v>0.20923162154898531</v>
      </c>
      <c r="F10" s="14">
        <f t="shared" si="14"/>
        <v>0.20114109675668312</v>
      </c>
      <c r="G10" s="14">
        <f t="shared" si="14"/>
        <v>0.19775800593364964</v>
      </c>
      <c r="H10" s="14">
        <f t="shared" si="14"/>
        <v>0.19284884592133164</v>
      </c>
      <c r="I10" s="14">
        <f t="shared" ref="I10:M10" si="15">I8/I28</f>
        <v>0.18923100172819546</v>
      </c>
      <c r="J10" s="14">
        <f t="shared" si="15"/>
        <v>0.18312844295885924</v>
      </c>
      <c r="K10" s="14">
        <f t="shared" si="15"/>
        <v>0.1848110913124634</v>
      </c>
      <c r="L10" s="14">
        <f t="shared" si="15"/>
        <v>0.18493950039706383</v>
      </c>
      <c r="M10" s="14">
        <f t="shared" si="15"/>
        <v>0.18617276542129538</v>
      </c>
    </row>
    <row r="11" spans="1:18" s="16" customFormat="1" ht="12" x14ac:dyDescent="0.15">
      <c r="A11" s="13" t="s">
        <v>15</v>
      </c>
      <c r="B11" s="17">
        <f t="shared" ref="B11:H11" si="16">B8/B36</f>
        <v>383.42440428268333</v>
      </c>
      <c r="C11" s="17">
        <f t="shared" si="16"/>
        <v>466.83643196847333</v>
      </c>
      <c r="D11" s="17">
        <f t="shared" si="16"/>
        <v>511.45244320467617</v>
      </c>
      <c r="E11" s="17">
        <f t="shared" si="16"/>
        <v>540.50515878980332</v>
      </c>
      <c r="F11" s="17">
        <f t="shared" si="16"/>
        <v>531.54473043099142</v>
      </c>
      <c r="G11" s="17">
        <f t="shared" si="16"/>
        <v>535.95728196814662</v>
      </c>
      <c r="H11" s="17">
        <f t="shared" si="16"/>
        <v>619.70693688446772</v>
      </c>
      <c r="I11" s="17">
        <f>H11*(1+I12)</f>
        <v>653.35702355729438</v>
      </c>
      <c r="J11" s="17">
        <f t="shared" ref="J11" si="17">I11*(1+J12)</f>
        <v>681.58204697496944</v>
      </c>
      <c r="K11" s="17">
        <f t="shared" ref="K11" si="18">J11*(1+K12)</f>
        <v>718.59195212571035</v>
      </c>
      <c r="L11" s="17">
        <f t="shared" ref="L11" si="19">K11*(1+L12)</f>
        <v>747.98236296765185</v>
      </c>
      <c r="M11" s="17">
        <f t="shared" ref="M11" si="20">L11*(1+M12)</f>
        <v>786.05466524270525</v>
      </c>
      <c r="O11" s="29">
        <f>(H11/B11)^(1/6)-1</f>
        <v>8.3305881462343523E-2</v>
      </c>
      <c r="P11" s="29">
        <f>(H11/E11)^(1/3)-1</f>
        <v>4.663560505379416E-2</v>
      </c>
      <c r="Q11" s="29">
        <f>(M11/H11)^(1/5)-1</f>
        <v>4.8704854554566746E-2</v>
      </c>
      <c r="R11" s="29">
        <f>(M11/I11)^(1/4)-1</f>
        <v>4.7310713942144922E-2</v>
      </c>
    </row>
    <row r="12" spans="1:18" s="16" customFormat="1" ht="12" x14ac:dyDescent="0.15">
      <c r="A12" s="13" t="s">
        <v>13</v>
      </c>
      <c r="B12" s="14"/>
      <c r="C12" s="14">
        <f t="shared" ref="C12" si="21">(C11/B11)-1</f>
        <v>0.21754491042853319</v>
      </c>
      <c r="D12" s="14">
        <f t="shared" ref="D12" si="22">(D11/C11)-1</f>
        <v>9.5570971288752915E-2</v>
      </c>
      <c r="E12" s="14">
        <f t="shared" ref="E12" si="23">(E11/D11)-1</f>
        <v>5.6804334344533913E-2</v>
      </c>
      <c r="F12" s="14">
        <f t="shared" ref="F12" si="24">(F11/E11)-1</f>
        <v>-1.6577877589317391E-2</v>
      </c>
      <c r="G12" s="14">
        <f>(G11/F11)-1</f>
        <v>8.3013738722936825E-3</v>
      </c>
      <c r="H12" s="14">
        <f>(H11/G11)-1</f>
        <v>0.15626180991286276</v>
      </c>
      <c r="I12" s="14">
        <v>5.4300000000000001E-2</v>
      </c>
      <c r="J12" s="14">
        <v>4.3200000000000002E-2</v>
      </c>
      <c r="K12" s="14">
        <v>5.4300000000000001E-2</v>
      </c>
      <c r="L12" s="14">
        <v>4.0899999999999999E-2</v>
      </c>
      <c r="M12" s="14">
        <v>5.0900000000000001E-2</v>
      </c>
    </row>
    <row r="13" spans="1:18" s="12" customFormat="1" ht="12" x14ac:dyDescent="0.15">
      <c r="A13" s="10" t="s">
        <v>17</v>
      </c>
      <c r="B13" s="6">
        <v>2022.396</v>
      </c>
      <c r="C13" s="6">
        <v>1527.606</v>
      </c>
      <c r="D13" s="6">
        <v>2376.1559999999999</v>
      </c>
      <c r="E13" s="6">
        <v>3223.6480000000001</v>
      </c>
      <c r="F13" s="6">
        <v>3537.9209999999998</v>
      </c>
      <c r="G13" s="6">
        <v>3308.8739999999998</v>
      </c>
      <c r="H13" s="6">
        <v>3891.328</v>
      </c>
      <c r="I13" s="11">
        <f>I16*I39</f>
        <v>3845.0952876851206</v>
      </c>
      <c r="J13" s="11">
        <f t="shared" ref="J13:M13" si="25">J16*J39</f>
        <v>3938.8100648389909</v>
      </c>
      <c r="K13" s="11">
        <f t="shared" si="25"/>
        <v>4324.7697304014919</v>
      </c>
      <c r="L13" s="11">
        <f t="shared" si="25"/>
        <v>4818.3881355051926</v>
      </c>
      <c r="M13" s="11">
        <f t="shared" si="25"/>
        <v>5373.9013564285015</v>
      </c>
      <c r="O13" s="29">
        <f>(H13/B13)^(1/6)-1</f>
        <v>0.11524925097376237</v>
      </c>
      <c r="P13" s="29">
        <f>(H13/E13)^(1/3)-1</f>
        <v>6.4755948611489256E-2</v>
      </c>
      <c r="Q13" s="29">
        <f>(M13/H13)^(1/5)-1</f>
        <v>6.6690359961082857E-2</v>
      </c>
      <c r="R13" s="29">
        <f>(M13/I13)^(1/4)-1</f>
        <v>8.7290631142641795E-2</v>
      </c>
    </row>
    <row r="14" spans="1:18" s="16" customFormat="1" ht="12" x14ac:dyDescent="0.15">
      <c r="A14" s="13" t="s">
        <v>13</v>
      </c>
      <c r="B14" s="14"/>
      <c r="C14" s="14">
        <f t="shared" ref="C14:F14" si="26">(C13/B13)-1</f>
        <v>-0.24465534939744737</v>
      </c>
      <c r="D14" s="14">
        <f t="shared" si="26"/>
        <v>0.55547700126865163</v>
      </c>
      <c r="E14" s="14">
        <f t="shared" si="26"/>
        <v>0.35666513478071304</v>
      </c>
      <c r="F14" s="14">
        <f t="shared" si="26"/>
        <v>9.7489862416740181E-2</v>
      </c>
      <c r="G14" s="14">
        <f>(G13/F13)-1</f>
        <v>-6.4740563737856194E-2</v>
      </c>
      <c r="H14" s="14">
        <f>(H13/G13)-1</f>
        <v>0.1760278572106404</v>
      </c>
      <c r="I14" s="14">
        <f t="shared" ref="I14:M14" si="27">(I13/H13)-1</f>
        <v>-1.1880959999999829E-2</v>
      </c>
      <c r="J14" s="14">
        <f t="shared" si="27"/>
        <v>2.4372550000000048E-2</v>
      </c>
      <c r="K14" s="14">
        <f t="shared" si="27"/>
        <v>9.7988899999999823E-2</v>
      </c>
      <c r="L14" s="14">
        <f t="shared" si="27"/>
        <v>0.1141375</v>
      </c>
      <c r="M14" s="14">
        <f t="shared" si="27"/>
        <v>0.11529026000000009</v>
      </c>
    </row>
    <row r="15" spans="1:18" s="18" customFormat="1" ht="12" x14ac:dyDescent="0.15">
      <c r="A15" s="13" t="s">
        <v>14</v>
      </c>
      <c r="B15" s="14">
        <f t="shared" ref="B15:H15" si="28">B13/B28</f>
        <v>0.16804590494070396</v>
      </c>
      <c r="C15" s="14">
        <f t="shared" si="28"/>
        <v>0.18712094560627637</v>
      </c>
      <c r="D15" s="14">
        <f t="shared" si="28"/>
        <v>0.17838245660658666</v>
      </c>
      <c r="E15" s="14">
        <f t="shared" si="28"/>
        <v>0.17728042914467537</v>
      </c>
      <c r="F15" s="14">
        <f t="shared" si="28"/>
        <v>0.17351526129735617</v>
      </c>
      <c r="G15" s="14">
        <f t="shared" si="28"/>
        <v>0.16258176506055086</v>
      </c>
      <c r="H15" s="14">
        <f t="shared" si="28"/>
        <v>0.16032539315036079</v>
      </c>
      <c r="I15" s="14">
        <f t="shared" ref="I15:M15" si="29">I13/I28</f>
        <v>0.15443854323084569</v>
      </c>
      <c r="J15" s="14">
        <f t="shared" si="29"/>
        <v>0.1486033101369294</v>
      </c>
      <c r="K15" s="14">
        <f t="shared" si="29"/>
        <v>0.14780282940424455</v>
      </c>
      <c r="L15" s="14">
        <f t="shared" si="29"/>
        <v>0.14902769986603331</v>
      </c>
      <c r="M15" s="14">
        <f t="shared" si="29"/>
        <v>0.14897869863055055</v>
      </c>
    </row>
    <row r="16" spans="1:18" s="16" customFormat="1" ht="12" x14ac:dyDescent="0.15">
      <c r="A16" s="13" t="s">
        <v>15</v>
      </c>
      <c r="B16" s="17">
        <f t="shared" ref="B16:H16" si="30">B13/B39</f>
        <v>225.38185382736455</v>
      </c>
      <c r="C16" s="17">
        <f t="shared" si="30"/>
        <v>241.7578556751152</v>
      </c>
      <c r="D16" s="17">
        <f t="shared" si="30"/>
        <v>245.6813938650063</v>
      </c>
      <c r="E16" s="17">
        <f t="shared" si="30"/>
        <v>261.53421657284133</v>
      </c>
      <c r="F16" s="17">
        <f t="shared" si="30"/>
        <v>268.02072426756092</v>
      </c>
      <c r="G16" s="17">
        <f t="shared" si="30"/>
        <v>263.01952507468798</v>
      </c>
      <c r="H16" s="17">
        <f t="shared" si="30"/>
        <v>304.77696647399171</v>
      </c>
      <c r="I16" s="17">
        <f>H16*(1+I17)</f>
        <v>317.94333142566813</v>
      </c>
      <c r="J16" s="17">
        <f t="shared" ref="J16" si="31">I16*(1+J17)</f>
        <v>333.87229233009413</v>
      </c>
      <c r="K16" s="17">
        <f t="shared" ref="K16" si="32">J16*(1+K17)</f>
        <v>349.56429006960855</v>
      </c>
      <c r="L16" s="17">
        <f t="shared" ref="L16" si="33">K16*(1+L17)</f>
        <v>366.5531145669915</v>
      </c>
      <c r="M16" s="17">
        <f t="shared" ref="M16" si="34">L16*(1+M17)</f>
        <v>382.46151973919899</v>
      </c>
      <c r="O16" s="29">
        <f>(H16/B16)^(1/6)-1</f>
        <v>5.1583748799597151E-2</v>
      </c>
      <c r="P16" s="29">
        <f>(H16/E16)^(1/3)-1</f>
        <v>5.2328200296279714E-2</v>
      </c>
      <c r="Q16" s="29">
        <f>(M16/H16)^(1/5)-1</f>
        <v>4.6456357684778071E-2</v>
      </c>
      <c r="R16" s="29">
        <f>(M16/I16)^(1/4)-1</f>
        <v>4.7272034110148464E-2</v>
      </c>
    </row>
    <row r="17" spans="1:18" s="16" customFormat="1" ht="12" x14ac:dyDescent="0.15">
      <c r="A17" s="13" t="s">
        <v>13</v>
      </c>
      <c r="B17" s="14"/>
      <c r="C17" s="14">
        <f t="shared" ref="C17" si="35">(C16/B16)-1</f>
        <v>7.2658918939827899E-2</v>
      </c>
      <c r="D17" s="14">
        <f t="shared" ref="D17" si="36">(D16/C16)-1</f>
        <v>1.6229206612271341E-2</v>
      </c>
      <c r="E17" s="14">
        <f t="shared" ref="E17" si="37">(E16/D16)-1</f>
        <v>6.4525939300660307E-2</v>
      </c>
      <c r="F17" s="14">
        <f t="shared" ref="F17" si="38">(F16/E16)-1</f>
        <v>2.4801755501513867E-2</v>
      </c>
      <c r="G17" s="14">
        <f>(G16/F16)-1</f>
        <v>-1.865974807187043E-2</v>
      </c>
      <c r="H17" s="14">
        <f>(H16/G16)-1</f>
        <v>0.15876175499688139</v>
      </c>
      <c r="I17" s="14">
        <v>4.3200000000000002E-2</v>
      </c>
      <c r="J17" s="14">
        <v>5.0099999999999999E-2</v>
      </c>
      <c r="K17" s="14">
        <v>4.7E-2</v>
      </c>
      <c r="L17" s="14">
        <v>4.8599999999999997E-2</v>
      </c>
      <c r="M17" s="14">
        <v>4.3400000000000001E-2</v>
      </c>
    </row>
    <row r="18" spans="1:18" s="12" customFormat="1" ht="12" x14ac:dyDescent="0.15">
      <c r="A18" s="10" t="s">
        <v>18</v>
      </c>
      <c r="B18" s="6">
        <v>1639.309</v>
      </c>
      <c r="C18" s="6">
        <v>1042.866</v>
      </c>
      <c r="D18" s="6">
        <v>1726</v>
      </c>
      <c r="E18" s="6">
        <v>2802.3240000000001</v>
      </c>
      <c r="F18" s="6">
        <v>3054.14</v>
      </c>
      <c r="G18" s="6">
        <v>3001.462</v>
      </c>
      <c r="H18" s="6">
        <v>3580.6840000000002</v>
      </c>
      <c r="I18" s="11">
        <f>I21*I42</f>
        <v>3304.4769827669597</v>
      </c>
      <c r="J18" s="11">
        <f t="shared" ref="J18:M18" si="39">J21*J42</f>
        <v>3631.0288348600529</v>
      </c>
      <c r="K18" s="11">
        <f t="shared" si="39"/>
        <v>4107.2083468743494</v>
      </c>
      <c r="L18" s="11">
        <f t="shared" si="39"/>
        <v>4598.708317805188</v>
      </c>
      <c r="M18" s="11">
        <f t="shared" si="39"/>
        <v>5182.1927510778924</v>
      </c>
      <c r="O18" s="29">
        <f>(H18/B18)^(1/6)-1</f>
        <v>0.13907117553211368</v>
      </c>
      <c r="P18" s="29">
        <f>(H18/E18)^(1/3)-1</f>
        <v>8.5131947536524644E-2</v>
      </c>
      <c r="Q18" s="29">
        <f>(M18/H18)^(1/5)-1</f>
        <v>7.6736693464416916E-2</v>
      </c>
      <c r="R18" s="29">
        <f>(M18/I18)^(1/4)-1</f>
        <v>0.11905828740728808</v>
      </c>
    </row>
    <row r="19" spans="1:18" s="16" customFormat="1" ht="12" x14ac:dyDescent="0.15">
      <c r="A19" s="13" t="s">
        <v>13</v>
      </c>
      <c r="B19" s="14"/>
      <c r="C19" s="14">
        <f t="shared" ref="C19:F19" si="40">(C18/B18)-1</f>
        <v>-0.36383805615658793</v>
      </c>
      <c r="D19" s="14">
        <f t="shared" si="40"/>
        <v>0.65505443652396389</v>
      </c>
      <c r="E19" s="14">
        <f t="shared" si="40"/>
        <v>0.62359443800695247</v>
      </c>
      <c r="F19" s="14">
        <f t="shared" si="40"/>
        <v>8.9859702161491528E-2</v>
      </c>
      <c r="G19" s="14">
        <f>(G18/F18)-1</f>
        <v>-1.724806328459072E-2</v>
      </c>
      <c r="H19" s="14">
        <f>(H18/G18)-1</f>
        <v>0.19297995443553839</v>
      </c>
      <c r="I19" s="14">
        <f t="shared" ref="I19:M19" si="41">(I18/H18)-1</f>
        <v>-7.7138060000000119E-2</v>
      </c>
      <c r="J19" s="14">
        <f t="shared" si="41"/>
        <v>9.8821040000000027E-2</v>
      </c>
      <c r="K19" s="14">
        <f t="shared" si="41"/>
        <v>0.13114176</v>
      </c>
      <c r="L19" s="14">
        <f t="shared" si="41"/>
        <v>0.11966765000000001</v>
      </c>
      <c r="M19" s="14">
        <f t="shared" si="41"/>
        <v>0.1268800699999999</v>
      </c>
    </row>
    <row r="20" spans="1:18" s="18" customFormat="1" ht="12" x14ac:dyDescent="0.15">
      <c r="A20" s="13" t="s">
        <v>14</v>
      </c>
      <c r="B20" s="14">
        <f t="shared" ref="B20:H20" si="42">B18/B28</f>
        <v>0.13621425496413189</v>
      </c>
      <c r="C20" s="14">
        <f t="shared" si="42"/>
        <v>0.12774371929714534</v>
      </c>
      <c r="D20" s="14">
        <f t="shared" si="42"/>
        <v>0.12957403474475943</v>
      </c>
      <c r="E20" s="14">
        <f t="shared" si="42"/>
        <v>0.15411025066087342</v>
      </c>
      <c r="F20" s="14">
        <f t="shared" si="42"/>
        <v>0.1497885057746364</v>
      </c>
      <c r="G20" s="14">
        <f t="shared" si="42"/>
        <v>0.14747705404381403</v>
      </c>
      <c r="H20" s="14">
        <f t="shared" si="42"/>
        <v>0.14752664644234731</v>
      </c>
      <c r="I20" s="14">
        <f t="shared" ref="I20:M20" si="43">I18/I28</f>
        <v>0.13272456809922936</v>
      </c>
      <c r="J20" s="14">
        <f t="shared" si="43"/>
        <v>0.13699134895576606</v>
      </c>
      <c r="K20" s="14">
        <f t="shared" si="43"/>
        <v>0.14036747675913888</v>
      </c>
      <c r="L20" s="14">
        <f t="shared" si="43"/>
        <v>0.14223323312360084</v>
      </c>
      <c r="M20" s="14">
        <f t="shared" si="43"/>
        <v>0.14366403119489948</v>
      </c>
    </row>
    <row r="21" spans="1:18" s="16" customFormat="1" ht="12" x14ac:dyDescent="0.15">
      <c r="A21" s="13" t="s">
        <v>15</v>
      </c>
      <c r="B21" s="17">
        <f t="shared" ref="B21:H21" si="44">B18/B42</f>
        <v>324.09004011316301</v>
      </c>
      <c r="C21" s="17">
        <f t="shared" si="44"/>
        <v>410.79938517922687</v>
      </c>
      <c r="D21" s="17">
        <f t="shared" si="44"/>
        <v>418.67250253119789</v>
      </c>
      <c r="E21" s="17">
        <f t="shared" si="44"/>
        <v>450.77095118724679</v>
      </c>
      <c r="F21" s="17">
        <f t="shared" si="44"/>
        <v>449.79308110337109</v>
      </c>
      <c r="G21" s="17">
        <f t="shared" si="44"/>
        <v>440.68346076340583</v>
      </c>
      <c r="H21" s="17">
        <f t="shared" si="44"/>
        <v>514.64429493545902</v>
      </c>
      <c r="I21" s="17">
        <f>H21*(1+I22)</f>
        <v>535.69324659831921</v>
      </c>
      <c r="J21" s="17">
        <f t="shared" ref="J21" si="45">I21*(1+J22)</f>
        <v>562.96003285017366</v>
      </c>
      <c r="K21" s="17">
        <f t="shared" ref="K21" si="46">J21*(1+K22)</f>
        <v>587.27990626930114</v>
      </c>
      <c r="L21" s="17">
        <f t="shared" ref="L21" si="47">K21*(1+L22)</f>
        <v>610.82983051070016</v>
      </c>
      <c r="M21" s="17">
        <f t="shared" ref="M21" si="48">L21*(1+M22)</f>
        <v>641.92106888369472</v>
      </c>
      <c r="O21" s="29">
        <f>(H21/B21)^(1/6)-1</f>
        <v>8.0123909567008544E-2</v>
      </c>
      <c r="P21" s="29">
        <f>(H21/E21)^(1/3)-1</f>
        <v>4.5162327092970855E-2</v>
      </c>
      <c r="Q21" s="29">
        <f>(M21/H21)^(1/5)-1</f>
        <v>4.5189151834295727E-2</v>
      </c>
      <c r="R21" s="29">
        <f>(M21/I21)^(1/4)-1</f>
        <v>4.6264198509180732E-2</v>
      </c>
    </row>
    <row r="22" spans="1:18" s="16" customFormat="1" ht="12" x14ac:dyDescent="0.15">
      <c r="A22" s="13" t="s">
        <v>13</v>
      </c>
      <c r="B22" s="14"/>
      <c r="C22" s="14">
        <f t="shared" ref="C22" si="49">(C21/B21)-1</f>
        <v>0.26754708363079427</v>
      </c>
      <c r="D22" s="14">
        <f t="shared" ref="D22" si="50">(D21/C21)-1</f>
        <v>1.916535816755438E-2</v>
      </c>
      <c r="E22" s="14">
        <f t="shared" ref="E22" si="51">(E21/D21)-1</f>
        <v>7.6667200406019154E-2</v>
      </c>
      <c r="F22" s="14">
        <f t="shared" ref="F22" si="52">(F21/E21)-1</f>
        <v>-2.1693280840306972E-3</v>
      </c>
      <c r="G22" s="14">
        <f>(G21/F21)-1</f>
        <v>-2.025291344548652E-2</v>
      </c>
      <c r="H22" s="14">
        <f>(H21/G21)-1</f>
        <v>0.16783210798047454</v>
      </c>
      <c r="I22" s="14">
        <v>4.0899999999999999E-2</v>
      </c>
      <c r="J22" s="14">
        <v>5.0900000000000001E-2</v>
      </c>
      <c r="K22" s="14">
        <v>4.3200000000000002E-2</v>
      </c>
      <c r="L22" s="14">
        <v>4.0099999999999997E-2</v>
      </c>
      <c r="M22" s="14">
        <v>5.0900000000000001E-2</v>
      </c>
    </row>
    <row r="23" spans="1:18" s="12" customFormat="1" ht="12" x14ac:dyDescent="0.15">
      <c r="A23" s="10" t="s">
        <v>19</v>
      </c>
      <c r="B23" s="6">
        <f>764.976+435.076+261.502+210.665+246.322+236.386+98.793+50.126</f>
        <v>2303.8460000000005</v>
      </c>
      <c r="C23" s="6">
        <f>452.459+269.26+206.285+171.652+150.579+125.739+59.031+30.934</f>
        <v>1465.9389999999999</v>
      </c>
      <c r="D23" s="6">
        <f>702.379+411.628+318.369+270.626+245.24+206.437+96.615+44.781</f>
        <v>2296.0749999999998</v>
      </c>
      <c r="E23" s="6">
        <f>915.624+536.194+411.71+325.751+302.061+245.834+115.071+61.808</f>
        <v>2914.0529999999999</v>
      </c>
      <c r="F23" s="6">
        <f>1106.152+623.49+476.23+319.285+421.725+247.742+130.418+63.427</f>
        <v>3388.4690000000005</v>
      </c>
      <c r="G23" s="6">
        <f>1107.942+631.479+471.828+341.117+273.27+264.954+161.171+75.564</f>
        <v>3327.3249999999998</v>
      </c>
      <c r="H23" s="6">
        <f>1317.321+736.79+626.794+427.774+372.055+326.065+219.027+92.259</f>
        <v>4118.0849999999991</v>
      </c>
      <c r="I23" s="11">
        <f>I26*I45</f>
        <v>4211.4196669292996</v>
      </c>
      <c r="J23" s="11">
        <f t="shared" ref="J23:M23" si="53">J26*J45</f>
        <v>4475.2723527042472</v>
      </c>
      <c r="K23" s="11">
        <f t="shared" si="53"/>
        <v>4855.8233779876755</v>
      </c>
      <c r="L23" s="11">
        <f t="shared" si="53"/>
        <v>5103.5507341419525</v>
      </c>
      <c r="M23" s="11">
        <f t="shared" si="53"/>
        <v>5443.2713446775088</v>
      </c>
      <c r="O23" s="29">
        <f>(H23/B23)^(1/6)-1</f>
        <v>0.10164155654429008</v>
      </c>
      <c r="P23" s="29">
        <f>(H23/E23)^(1/3)-1</f>
        <v>0.12218886065332568</v>
      </c>
      <c r="Q23" s="29">
        <f>(M23/H23)^(1/5)-1</f>
        <v>5.7384489467878774E-2</v>
      </c>
      <c r="R23" s="29">
        <f>(M23/I23)^(1/4)-1</f>
        <v>6.624710701731007E-2</v>
      </c>
    </row>
    <row r="24" spans="1:18" s="16" customFormat="1" ht="12" x14ac:dyDescent="0.15">
      <c r="A24" s="13" t="s">
        <v>13</v>
      </c>
      <c r="B24" s="14"/>
      <c r="C24" s="14">
        <f t="shared" ref="C24:F24" si="54">(C23/B23)-1</f>
        <v>-0.36369922295153423</v>
      </c>
      <c r="D24" s="14">
        <f t="shared" si="54"/>
        <v>0.56628277165693808</v>
      </c>
      <c r="E24" s="14">
        <f t="shared" si="54"/>
        <v>0.26914538941454436</v>
      </c>
      <c r="F24" s="14">
        <f t="shared" si="54"/>
        <v>0.16280280420431636</v>
      </c>
      <c r="G24" s="14">
        <f>(G23/F23)-1</f>
        <v>-1.8044727574606956E-2</v>
      </c>
      <c r="H24" s="14">
        <f>(H23/G23)-1</f>
        <v>0.23765637561704955</v>
      </c>
      <c r="I24" s="14">
        <f t="shared" ref="I24:M24" si="55">(I23/H23)-1</f>
        <v>2.2664580000000045E-2</v>
      </c>
      <c r="J24" s="14">
        <f t="shared" si="55"/>
        <v>6.2651719999999855E-2</v>
      </c>
      <c r="K24" s="14">
        <f t="shared" si="55"/>
        <v>8.5034159999999748E-2</v>
      </c>
      <c r="L24" s="14">
        <f t="shared" si="55"/>
        <v>5.1016549999999938E-2</v>
      </c>
      <c r="M24" s="14">
        <f t="shared" si="55"/>
        <v>6.6565540000000256E-2</v>
      </c>
    </row>
    <row r="25" spans="1:18" s="18" customFormat="1" ht="12" x14ac:dyDescent="0.15">
      <c r="A25" s="13" t="s">
        <v>14</v>
      </c>
      <c r="B25" s="14">
        <f t="shared" ref="B25:H25" si="56">B23/B28</f>
        <v>0.1914322842381122</v>
      </c>
      <c r="C25" s="14">
        <f t="shared" si="56"/>
        <v>0.17956717365676694</v>
      </c>
      <c r="D25" s="14">
        <f t="shared" si="56"/>
        <v>0.17237062678248752</v>
      </c>
      <c r="E25" s="14">
        <f t="shared" si="56"/>
        <v>0.16025464516917748</v>
      </c>
      <c r="F25" s="14">
        <f t="shared" si="56"/>
        <v>0.1661854755753425</v>
      </c>
      <c r="G25" s="14">
        <f t="shared" si="56"/>
        <v>0.16348835628981259</v>
      </c>
      <c r="H25" s="14">
        <f t="shared" si="56"/>
        <v>0.16966793769417621</v>
      </c>
      <c r="I25" s="14">
        <f t="shared" ref="I25:M25" si="57">I23/I28</f>
        <v>0.16915198964701364</v>
      </c>
      <c r="J25" s="14">
        <f t="shared" si="57"/>
        <v>0.1688429435358722</v>
      </c>
      <c r="K25" s="14">
        <f t="shared" si="57"/>
        <v>0.1659520573566414</v>
      </c>
      <c r="L25" s="14">
        <f t="shared" si="57"/>
        <v>0.15784748045811745</v>
      </c>
      <c r="M25" s="14">
        <f t="shared" si="57"/>
        <v>0.15090181740179315</v>
      </c>
    </row>
    <row r="26" spans="1:18" s="16" customFormat="1" ht="12" x14ac:dyDescent="0.15">
      <c r="A26" s="13" t="s">
        <v>15</v>
      </c>
      <c r="B26" s="17">
        <f t="shared" ref="B26:H26" si="58">B23/B45</f>
        <v>250.08276946971316</v>
      </c>
      <c r="C26" s="17">
        <f t="shared" si="58"/>
        <v>288.4155607653521</v>
      </c>
      <c r="D26" s="17">
        <f t="shared" si="58"/>
        <v>287.28074757617912</v>
      </c>
      <c r="E26" s="17">
        <f t="shared" si="58"/>
        <v>300.63270995650811</v>
      </c>
      <c r="F26" s="17">
        <f t="shared" si="58"/>
        <v>305.44130384832528</v>
      </c>
      <c r="G26" s="17">
        <f t="shared" si="58"/>
        <v>311.14556309274479</v>
      </c>
      <c r="H26" s="17">
        <f t="shared" si="58"/>
        <v>354.31308774385082</v>
      </c>
      <c r="I26" s="17">
        <f>H26*(1+I27)</f>
        <v>366.85577104998316</v>
      </c>
      <c r="J26" s="17">
        <f t="shared" ref="J26" si="59">I26*(1+J27)</f>
        <v>378.1916143754276</v>
      </c>
      <c r="K26" s="17">
        <f t="shared" ref="K26" si="60">J26*(1+K27)</f>
        <v>393.65965140338255</v>
      </c>
      <c r="L26" s="17">
        <f t="shared" ref="L26" si="61">K26*(1+L27)</f>
        <v>401.88713811771322</v>
      </c>
      <c r="M26" s="17">
        <f t="shared" ref="M26" si="62">L26*(1+M27)</f>
        <v>416.11394280708032</v>
      </c>
      <c r="O26" s="29">
        <f>(H26/B26)^(1/6)-1</f>
        <v>5.9783704553239225E-2</v>
      </c>
      <c r="P26" s="29">
        <f>(H26/E26)^(1/3)-1</f>
        <v>5.6291182190552291E-2</v>
      </c>
      <c r="Q26" s="29">
        <f>(M26/H26)^(1/5)-1</f>
        <v>3.2678213223161334E-2</v>
      </c>
      <c r="R26" s="29">
        <f>(M26/I26)^(1/4)-1</f>
        <v>3.1998885208531114E-2</v>
      </c>
    </row>
    <row r="27" spans="1:18" s="16" customFormat="1" ht="12" x14ac:dyDescent="0.15">
      <c r="A27" s="13" t="s">
        <v>13</v>
      </c>
      <c r="B27" s="14"/>
      <c r="C27" s="14">
        <f t="shared" ref="C27" si="63">(C26/B26)-1</f>
        <v>0.15328041742708431</v>
      </c>
      <c r="D27" s="14">
        <f t="shared" ref="D27" si="64">(D26/C26)-1</f>
        <v>-3.9346461964867574E-3</v>
      </c>
      <c r="E27" s="14">
        <f t="shared" ref="E27" si="65">(E26/D26)-1</f>
        <v>4.647705247560463E-2</v>
      </c>
      <c r="F27" s="14">
        <f t="shared" ref="F27" si="66">(F26/E26)-1</f>
        <v>1.5994912504739833E-2</v>
      </c>
      <c r="G27" s="14">
        <f>(G26/F26)-1</f>
        <v>1.8675467831463122E-2</v>
      </c>
      <c r="H27" s="14">
        <f>(H26/G26)-1</f>
        <v>0.13873739423447562</v>
      </c>
      <c r="I27" s="14">
        <v>3.5400000000000001E-2</v>
      </c>
      <c r="J27" s="14">
        <v>3.09E-2</v>
      </c>
      <c r="K27" s="14">
        <v>4.0899999999999999E-2</v>
      </c>
      <c r="L27" s="14">
        <v>2.0899999999999998E-2</v>
      </c>
      <c r="M27" s="14">
        <v>3.5400000000000001E-2</v>
      </c>
    </row>
    <row r="28" spans="1:18" s="22" customFormat="1" ht="12" x14ac:dyDescent="0.15">
      <c r="A28" s="19" t="s">
        <v>20</v>
      </c>
      <c r="B28" s="20">
        <f t="shared" ref="B28:H28" si="67">SUM(B3+B8+B13+B18+B23)</f>
        <v>12034.782999999999</v>
      </c>
      <c r="C28" s="20">
        <f t="shared" si="67"/>
        <v>8163.735999999999</v>
      </c>
      <c r="D28" s="20">
        <f t="shared" si="67"/>
        <v>13320.57</v>
      </c>
      <c r="E28" s="20">
        <f t="shared" si="67"/>
        <v>18183.891</v>
      </c>
      <c r="F28" s="20">
        <f t="shared" si="67"/>
        <v>20389.682000000001</v>
      </c>
      <c r="G28" s="20">
        <f t="shared" si="67"/>
        <v>20352.061000000002</v>
      </c>
      <c r="H28" s="20">
        <f t="shared" si="67"/>
        <v>24271.439000000002</v>
      </c>
      <c r="I28" s="20">
        <f t="shared" ref="I28:M28" si="68">SUM(I3+I8+I13+I18+I23)</f>
        <v>24897.251730338437</v>
      </c>
      <c r="J28" s="20">
        <f t="shared" si="68"/>
        <v>26505.533835078131</v>
      </c>
      <c r="K28" s="20">
        <f t="shared" si="68"/>
        <v>29260.398788260914</v>
      </c>
      <c r="L28" s="20">
        <f t="shared" si="68"/>
        <v>32332.164690434234</v>
      </c>
      <c r="M28" s="20">
        <f t="shared" si="68"/>
        <v>36071.608933537122</v>
      </c>
      <c r="O28" s="29">
        <f>(H28/B28)^(1/6)-1</f>
        <v>0.124025620022848</v>
      </c>
      <c r="P28" s="29">
        <f>(H28/E28)^(1/3)-1</f>
        <v>0.10103950598841216</v>
      </c>
      <c r="Q28" s="29">
        <f>(M28/H28)^(1/5)-1</f>
        <v>8.2465335879595481E-2</v>
      </c>
      <c r="R28" s="29">
        <f>(M28/I28)^(1/4)-1</f>
        <v>9.7118468549353798E-2</v>
      </c>
    </row>
    <row r="29" spans="1:18" s="16" customFormat="1" ht="12" x14ac:dyDescent="0.15">
      <c r="A29" s="13" t="s">
        <v>13</v>
      </c>
      <c r="B29" s="14"/>
      <c r="C29" s="14">
        <f t="shared" ref="C29:F29" si="69">(C28/B28)-1</f>
        <v>-0.3216549064490819</v>
      </c>
      <c r="D29" s="14">
        <f t="shared" si="69"/>
        <v>0.63167574257668324</v>
      </c>
      <c r="E29" s="14">
        <f t="shared" si="69"/>
        <v>0.36509856560192233</v>
      </c>
      <c r="F29" s="14">
        <f t="shared" si="69"/>
        <v>0.12130467566045144</v>
      </c>
      <c r="G29" s="14">
        <f>(G28/F28)-1</f>
        <v>-1.8450998892478587E-3</v>
      </c>
      <c r="H29" s="14">
        <f>(H28/G28)-1</f>
        <v>0.19257892357928763</v>
      </c>
      <c r="I29" s="14">
        <f t="shared" ref="I29:M29" si="70">(I28/H28)-1</f>
        <v>2.5783915421678794E-2</v>
      </c>
      <c r="J29" s="14">
        <f t="shared" si="70"/>
        <v>6.4596772453400009E-2</v>
      </c>
      <c r="K29" s="14">
        <f t="shared" si="70"/>
        <v>0.10393546382895047</v>
      </c>
      <c r="L29" s="14">
        <f t="shared" si="70"/>
        <v>0.10498031569568678</v>
      </c>
      <c r="M29" s="14">
        <f t="shared" si="70"/>
        <v>0.11565709499832022</v>
      </c>
    </row>
    <row r="30" spans="1:18" s="16" customFormat="1" ht="12" x14ac:dyDescent="0.15">
      <c r="A30" s="13" t="s">
        <v>15</v>
      </c>
      <c r="B30" s="17">
        <f t="shared" ref="B30:H30" si="71">B28/B48</f>
        <v>275.27861511613582</v>
      </c>
      <c r="C30" s="17">
        <f t="shared" si="71"/>
        <v>324.65219852400162</v>
      </c>
      <c r="D30" s="17">
        <f t="shared" si="71"/>
        <v>336.33803495437877</v>
      </c>
      <c r="E30" s="17">
        <f t="shared" si="71"/>
        <v>357.2808914250972</v>
      </c>
      <c r="F30" s="17">
        <f t="shared" si="71"/>
        <v>360.74783006088313</v>
      </c>
      <c r="G30" s="17">
        <f t="shared" si="71"/>
        <v>366.88397157919633</v>
      </c>
      <c r="H30" s="17">
        <f t="shared" si="71"/>
        <v>420.8206414105336</v>
      </c>
      <c r="I30" s="17">
        <f t="shared" ref="I30:M30" si="72">I28/I48</f>
        <v>440.7775784147488</v>
      </c>
      <c r="J30" s="17">
        <f t="shared" si="72"/>
        <v>462.02016077306592</v>
      </c>
      <c r="K30" s="17">
        <f t="shared" si="72"/>
        <v>484.8249943243793</v>
      </c>
      <c r="L30" s="17">
        <f t="shared" si="72"/>
        <v>505.99348220735834</v>
      </c>
      <c r="M30" s="17">
        <f t="shared" si="72"/>
        <v>530.05118235306634</v>
      </c>
      <c r="O30" s="29">
        <f>(H30/B30)^(1/6)-1</f>
        <v>7.3299086856882356E-2</v>
      </c>
      <c r="P30" s="29">
        <f>(H30/E30)^(1/3)-1</f>
        <v>5.6077398494497999E-2</v>
      </c>
      <c r="Q30" s="29">
        <f>(M30/H30)^(1/5)-1</f>
        <v>4.7235015034994499E-2</v>
      </c>
      <c r="R30" s="29">
        <f>(M30/I30)^(1/4)-1</f>
        <v>4.7187810408233943E-2</v>
      </c>
    </row>
    <row r="31" spans="1:18" s="16" customFormat="1" x14ac:dyDescent="0.15">
      <c r="A31" s="13"/>
      <c r="B31" s="17"/>
      <c r="C31" s="17"/>
      <c r="D31" s="17"/>
      <c r="E31" s="17"/>
      <c r="F31" s="17"/>
      <c r="G31" s="17"/>
      <c r="H31" s="14"/>
      <c r="I31" s="14"/>
      <c r="J31" s="14"/>
      <c r="K31" s="14"/>
      <c r="L31" s="14"/>
      <c r="M31" s="14"/>
    </row>
    <row r="32" spans="1:18" s="9" customFormat="1" ht="12" x14ac:dyDescent="0.15">
      <c r="A32" s="5" t="s">
        <v>143</v>
      </c>
      <c r="B32" s="6"/>
      <c r="C32" s="6"/>
      <c r="D32" s="6"/>
      <c r="E32" s="6"/>
      <c r="F32" s="7"/>
      <c r="G32" s="7"/>
      <c r="H32" s="14"/>
      <c r="I32" s="8"/>
      <c r="J32" s="8"/>
      <c r="K32" s="8"/>
      <c r="L32" s="8"/>
      <c r="M32" s="11"/>
    </row>
    <row r="33" spans="1:18" s="12" customFormat="1" ht="12" x14ac:dyDescent="0.15">
      <c r="A33" s="10" t="s">
        <v>21</v>
      </c>
      <c r="B33" s="6">
        <v>14.861808999999999</v>
      </c>
      <c r="C33" s="6">
        <v>8.1386240000000001</v>
      </c>
      <c r="D33" s="6">
        <v>12.259987000000001</v>
      </c>
      <c r="E33" s="6">
        <v>15.620454000000001</v>
      </c>
      <c r="F33" s="6">
        <f>17.721004</f>
        <v>17.721004000000001</v>
      </c>
      <c r="G33" s="6">
        <v>17.878173</v>
      </c>
      <c r="H33" s="6">
        <v>18.775220999999998</v>
      </c>
      <c r="I33" s="11">
        <f>H33*(1+I34)</f>
        <v>19.531862406299997</v>
      </c>
      <c r="J33" s="11">
        <f t="shared" ref="J33" si="73">I33*(1+J34)</f>
        <v>20.166647934504745</v>
      </c>
      <c r="K33" s="11">
        <f t="shared" ref="K33" si="74">J33*(1+K34)</f>
        <v>21.126580376187171</v>
      </c>
      <c r="L33" s="11">
        <f t="shared" ref="L33" si="75">K33*(1+L34)</f>
        <v>22.531497971203617</v>
      </c>
      <c r="M33" s="11">
        <f t="shared" ref="M33" si="76">L33*(1+M34)</f>
        <v>24.30472686153734</v>
      </c>
      <c r="O33" s="29">
        <f>(H33/B33)^(1/6)-1</f>
        <v>3.9725982506892521E-2</v>
      </c>
      <c r="P33" s="29">
        <f>(H33/E33)^(1/3)-1</f>
        <v>6.3237947707126985E-2</v>
      </c>
      <c r="Q33" s="29">
        <f>(M33/H33)^(1/5)-1</f>
        <v>5.2982460992355707E-2</v>
      </c>
      <c r="R33" s="29">
        <f>(M33/I33)^(1/4)-1</f>
        <v>5.6177161419143751E-2</v>
      </c>
    </row>
    <row r="34" spans="1:18" s="16" customFormat="1" ht="12" x14ac:dyDescent="0.15">
      <c r="A34" s="13" t="s">
        <v>13</v>
      </c>
      <c r="B34" s="14"/>
      <c r="C34" s="14">
        <f t="shared" ref="C34:F34" si="77">(C33/B33)-1</f>
        <v>-0.45237998954232284</v>
      </c>
      <c r="D34" s="14">
        <f t="shared" si="77"/>
        <v>0.50639555286004123</v>
      </c>
      <c r="E34" s="14">
        <f t="shared" si="77"/>
        <v>0.27410037221083505</v>
      </c>
      <c r="F34" s="14">
        <f t="shared" si="77"/>
        <v>0.13447432449786678</v>
      </c>
      <c r="G34" s="14">
        <f>(G33/F33)-1</f>
        <v>8.8690798783184199E-3</v>
      </c>
      <c r="H34" s="14">
        <f>(H33/G33)-1</f>
        <v>5.0175596801753652E-2</v>
      </c>
      <c r="I34" s="15">
        <v>4.0300000000000002E-2</v>
      </c>
      <c r="J34" s="15">
        <v>3.2500000000000001E-2</v>
      </c>
      <c r="K34" s="15">
        <v>4.7600000000000003E-2</v>
      </c>
      <c r="L34" s="15">
        <v>6.6500000000000004E-2</v>
      </c>
      <c r="M34" s="15">
        <v>7.8700000000000006E-2</v>
      </c>
    </row>
    <row r="35" spans="1:18" s="18" customFormat="1" ht="12" x14ac:dyDescent="0.15">
      <c r="A35" s="13" t="s">
        <v>22</v>
      </c>
      <c r="B35" s="14">
        <f t="shared" ref="B35:M35" si="78">B33/B48</f>
        <v>0.33994283068008152</v>
      </c>
      <c r="C35" s="14">
        <f t="shared" si="78"/>
        <v>0.32365355451967143</v>
      </c>
      <c r="D35" s="14">
        <f t="shared" si="78"/>
        <v>0.30955882039178728</v>
      </c>
      <c r="E35" s="14">
        <f t="shared" si="78"/>
        <v>0.30691394540281425</v>
      </c>
      <c r="F35" s="14">
        <f t="shared" si="78"/>
        <v>0.31353180199182262</v>
      </c>
      <c r="G35" s="14">
        <f t="shared" si="78"/>
        <v>0.322287512543322</v>
      </c>
      <c r="H35" s="14">
        <f t="shared" si="78"/>
        <v>0.32552666299861821</v>
      </c>
      <c r="I35" s="14">
        <f t="shared" si="78"/>
        <v>0.34578945124647109</v>
      </c>
      <c r="J35" s="14">
        <f t="shared" si="78"/>
        <v>0.35152651438481147</v>
      </c>
      <c r="K35" s="14">
        <f t="shared" si="78"/>
        <v>0.35005313102867863</v>
      </c>
      <c r="L35" s="14">
        <f t="shared" si="78"/>
        <v>0.35261453190513953</v>
      </c>
      <c r="M35" s="14">
        <f t="shared" si="78"/>
        <v>0.35714373687802498</v>
      </c>
    </row>
    <row r="36" spans="1:18" s="12" customFormat="1" ht="12" x14ac:dyDescent="0.15">
      <c r="A36" s="10" t="s">
        <v>24</v>
      </c>
      <c r="B36" s="6">
        <v>5.6130230000000001</v>
      </c>
      <c r="C36" s="6">
        <v>3.0673720000000002</v>
      </c>
      <c r="D36" s="6">
        <v>5.5580280000000002</v>
      </c>
      <c r="E36" s="6">
        <v>7.0390540000000001</v>
      </c>
      <c r="F36" s="6">
        <v>7.7156310000000001</v>
      </c>
      <c r="G36" s="6">
        <v>7.5095219999999996</v>
      </c>
      <c r="H36" s="6">
        <v>7.5531170000000003</v>
      </c>
      <c r="I36" s="11">
        <f>H36*(1+I37)</f>
        <v>7.2109607999000005</v>
      </c>
      <c r="J36" s="11">
        <f t="shared" ref="J36:M36" si="79">I36*(1+J37)</f>
        <v>7.1215448859812405</v>
      </c>
      <c r="K36" s="11">
        <f t="shared" si="79"/>
        <v>7.5253364810163763</v>
      </c>
      <c r="L36" s="11">
        <f t="shared" si="79"/>
        <v>7.994164943783697</v>
      </c>
      <c r="M36" s="11">
        <f t="shared" si="79"/>
        <v>8.5433640754216373</v>
      </c>
      <c r="O36" s="29">
        <f>(H36/B36)^(1/6)-1</f>
        <v>5.0722982542926953E-2</v>
      </c>
      <c r="P36" s="29">
        <f>(H36/E36)^(1/3)-1</f>
        <v>2.3773707269844957E-2</v>
      </c>
      <c r="Q36" s="29">
        <f>(M36/H36)^(1/5)-1</f>
        <v>2.4944951060425824E-2</v>
      </c>
      <c r="R36" s="29">
        <f>(M36/I36)^(1/4)-1</f>
        <v>4.3299369413795086E-2</v>
      </c>
    </row>
    <row r="37" spans="1:18" s="16" customFormat="1" ht="12" x14ac:dyDescent="0.15">
      <c r="A37" s="13" t="s">
        <v>13</v>
      </c>
      <c r="B37" s="14"/>
      <c r="C37" s="14">
        <f t="shared" ref="C37:F37" si="80">(C36/B36)-1</f>
        <v>-0.45352584516400518</v>
      </c>
      <c r="D37" s="14">
        <f t="shared" si="80"/>
        <v>0.81198367853654529</v>
      </c>
      <c r="E37" s="14">
        <f t="shared" si="80"/>
        <v>0.26646609193044735</v>
      </c>
      <c r="F37" s="14">
        <f t="shared" si="80"/>
        <v>9.6117603302943833E-2</v>
      </c>
      <c r="G37" s="14">
        <f>(G36/F36)-1</f>
        <v>-2.6713174852452171E-2</v>
      </c>
      <c r="H37" s="14">
        <f>(H36/G36)-1</f>
        <v>5.8052962625319005E-3</v>
      </c>
      <c r="I37" s="15">
        <v>-4.53E-2</v>
      </c>
      <c r="J37" s="15">
        <v>-1.24E-2</v>
      </c>
      <c r="K37" s="15">
        <v>5.67E-2</v>
      </c>
      <c r="L37" s="15">
        <v>6.2300000000000001E-2</v>
      </c>
      <c r="M37" s="15">
        <v>6.8699999999999997E-2</v>
      </c>
    </row>
    <row r="38" spans="1:18" s="18" customFormat="1" ht="12" x14ac:dyDescent="0.15">
      <c r="A38" s="13" t="s">
        <v>22</v>
      </c>
      <c r="B38" s="14">
        <f>B36/B48</f>
        <v>0.12838995086617</v>
      </c>
      <c r="C38" s="14">
        <f t="shared" ref="C38:M38" si="81">C36/C48</f>
        <v>0.12198202679397815</v>
      </c>
      <c r="D38" s="14">
        <f t="shared" si="81"/>
        <v>0.14033755430446415</v>
      </c>
      <c r="E38" s="14">
        <f t="shared" si="81"/>
        <v>0.13830480439579165</v>
      </c>
      <c r="F38" s="14">
        <f t="shared" si="81"/>
        <v>0.13651008097136982</v>
      </c>
      <c r="G38" s="14">
        <f t="shared" si="81"/>
        <v>0.13537318191122508</v>
      </c>
      <c r="H38" s="14">
        <f t="shared" si="81"/>
        <v>0.13095669937776683</v>
      </c>
      <c r="I38" s="14">
        <f t="shared" si="81"/>
        <v>0.12766187504745918</v>
      </c>
      <c r="J38" s="14">
        <f t="shared" si="81"/>
        <v>0.12413624013937764</v>
      </c>
      <c r="K38" s="14">
        <f t="shared" si="81"/>
        <v>0.12468972972991579</v>
      </c>
      <c r="L38" s="14">
        <f t="shared" si="81"/>
        <v>0.12510747102688899</v>
      </c>
      <c r="M38" s="14">
        <f t="shared" si="81"/>
        <v>0.12553973508067473</v>
      </c>
    </row>
    <row r="39" spans="1:18" s="12" customFormat="1" ht="12" x14ac:dyDescent="0.15">
      <c r="A39" s="10" t="s">
        <v>23</v>
      </c>
      <c r="B39" s="6">
        <v>8.973198</v>
      </c>
      <c r="C39" s="6">
        <v>6.3187439999999997</v>
      </c>
      <c r="D39" s="6">
        <v>9.671697</v>
      </c>
      <c r="E39" s="6">
        <v>12.325913</v>
      </c>
      <c r="F39" s="6">
        <v>13.200177</v>
      </c>
      <c r="G39" s="6">
        <v>12.580336000000001</v>
      </c>
      <c r="H39" s="6">
        <v>12.767789</v>
      </c>
      <c r="I39" s="11">
        <f>H39*(1+I40)</f>
        <v>12.093649740800002</v>
      </c>
      <c r="J39" s="11">
        <f t="shared" ref="J39" si="82">I39*(1+J40)</f>
        <v>11.797355322150402</v>
      </c>
      <c r="K39" s="11">
        <f t="shared" ref="K39" si="83">J39*(1+K40)</f>
        <v>12.371886526339127</v>
      </c>
      <c r="L39" s="11">
        <f t="shared" ref="L39" si="84">K39*(1+L40)</f>
        <v>13.145129434235322</v>
      </c>
      <c r="M39" s="11">
        <f t="shared" ref="M39" si="85">L39*(1+M40)</f>
        <v>14.050828852254135</v>
      </c>
      <c r="O39" s="29">
        <f>(H39/B39)^(1/6)-1</f>
        <v>6.0542493402775177E-2</v>
      </c>
      <c r="P39" s="29">
        <f>(H39/E39)^(1/3)-1</f>
        <v>1.1809764588376792E-2</v>
      </c>
      <c r="Q39" s="29">
        <f>(M39/H39)^(1/5)-1</f>
        <v>1.9335734479239308E-2</v>
      </c>
      <c r="R39" s="29">
        <f>(M39/I39)^(1/4)-1</f>
        <v>3.8212227319233794E-2</v>
      </c>
    </row>
    <row r="40" spans="1:18" s="16" customFormat="1" ht="12" x14ac:dyDescent="0.15">
      <c r="A40" s="13" t="s">
        <v>13</v>
      </c>
      <c r="B40" s="14"/>
      <c r="C40" s="14">
        <f t="shared" ref="C40:F40" si="86">(C39/B39)-1</f>
        <v>-0.29582028614547462</v>
      </c>
      <c r="D40" s="14">
        <f t="shared" si="86"/>
        <v>0.5306359934822491</v>
      </c>
      <c r="E40" s="14">
        <f t="shared" si="86"/>
        <v>0.27443126061538115</v>
      </c>
      <c r="F40" s="14">
        <f t="shared" si="86"/>
        <v>7.0928944573923181E-2</v>
      </c>
      <c r="G40" s="14">
        <f>(G39/F39)-1</f>
        <v>-4.6957021864176496E-2</v>
      </c>
      <c r="H40" s="14">
        <f>(H39/G39)-1</f>
        <v>1.4900476426066733E-2</v>
      </c>
      <c r="I40" s="15">
        <v>-5.28E-2</v>
      </c>
      <c r="J40" s="15">
        <v>-2.4500000000000001E-2</v>
      </c>
      <c r="K40" s="15">
        <v>4.87E-2</v>
      </c>
      <c r="L40" s="15">
        <v>6.25E-2</v>
      </c>
      <c r="M40" s="15">
        <v>6.8900000000000003E-2</v>
      </c>
    </row>
    <row r="41" spans="1:18" s="18" customFormat="1" ht="12" x14ac:dyDescent="0.15">
      <c r="A41" s="13" t="s">
        <v>22</v>
      </c>
      <c r="B41" s="14">
        <f t="shared" ref="B41:M41" si="87">B39/B48</f>
        <v>0.20524919465543165</v>
      </c>
      <c r="C41" s="14">
        <f t="shared" si="87"/>
        <v>0.25128129223070711</v>
      </c>
      <c r="D41" s="14">
        <f t="shared" si="87"/>
        <v>0.24420573321217939</v>
      </c>
      <c r="E41" s="14">
        <f t="shared" si="87"/>
        <v>0.24218211516271154</v>
      </c>
      <c r="F41" s="14">
        <f t="shared" si="87"/>
        <v>0.23354632059340494</v>
      </c>
      <c r="G41" s="14">
        <f t="shared" si="87"/>
        <v>0.22678409009685754</v>
      </c>
      <c r="H41" s="14">
        <f t="shared" si="87"/>
        <v>0.22136920503042096</v>
      </c>
      <c r="I41" s="14">
        <f t="shared" si="87"/>
        <v>0.21410433989589256</v>
      </c>
      <c r="J41" s="14">
        <f t="shared" si="87"/>
        <v>0.2056406800388009</v>
      </c>
      <c r="K41" s="14">
        <f t="shared" si="87"/>
        <v>0.20499378215312197</v>
      </c>
      <c r="L41" s="14">
        <f t="shared" si="87"/>
        <v>0.20571928542919476</v>
      </c>
      <c r="M41" s="14">
        <f t="shared" si="87"/>
        <v>0.20646870673000439</v>
      </c>
    </row>
    <row r="42" spans="1:18" s="12" customFormat="1" ht="12" x14ac:dyDescent="0.15">
      <c r="A42" s="10" t="s">
        <v>25</v>
      </c>
      <c r="B42" s="6">
        <v>5.0581899999999997</v>
      </c>
      <c r="C42" s="6">
        <v>2.5386259999999998</v>
      </c>
      <c r="D42" s="6">
        <v>4.1225540000000001</v>
      </c>
      <c r="E42" s="6">
        <v>6.216736</v>
      </c>
      <c r="F42" s="6">
        <v>6.7900999999999998</v>
      </c>
      <c r="G42" s="6">
        <v>6.8109250000000001</v>
      </c>
      <c r="H42" s="6">
        <v>6.9575899999999997</v>
      </c>
      <c r="I42" s="11">
        <f>H42*(1+I43)</f>
        <v>6.1685992939999998</v>
      </c>
      <c r="J42" s="11">
        <f t="shared" ref="J42" si="88">I42*(1+J43)</f>
        <v>6.4498874218064</v>
      </c>
      <c r="K42" s="11">
        <f t="shared" ref="K42" si="89">J42*(1+K43)</f>
        <v>6.9936129314646793</v>
      </c>
      <c r="L42" s="11">
        <f t="shared" ref="L42" si="90">K42*(1+L43)</f>
        <v>7.5286243207217272</v>
      </c>
      <c r="M42" s="11">
        <f t="shared" ref="M42" si="91">L42*(1+M43)</f>
        <v>8.072943859109909</v>
      </c>
      <c r="O42" s="29">
        <f>(H42/B42)^(1/6)-1</f>
        <v>5.4574540423547813E-2</v>
      </c>
      <c r="P42" s="29">
        <f>(H42/E42)^(1/3)-1</f>
        <v>3.824250014323205E-2</v>
      </c>
      <c r="Q42" s="29">
        <f>(M42/H42)^(1/5)-1</f>
        <v>3.01835716288823E-2</v>
      </c>
      <c r="R42" s="29">
        <f>(M42/I42)^(1/4)-1</f>
        <v>6.9575245910001859E-2</v>
      </c>
    </row>
    <row r="43" spans="1:18" s="16" customFormat="1" ht="12" x14ac:dyDescent="0.15">
      <c r="A43" s="13" t="s">
        <v>13</v>
      </c>
      <c r="B43" s="14"/>
      <c r="C43" s="14">
        <f t="shared" ref="C43:F43" si="92">(C42/B42)-1</f>
        <v>-0.49811572914421953</v>
      </c>
      <c r="D43" s="14">
        <f t="shared" si="92"/>
        <v>0.62393121318382483</v>
      </c>
      <c r="E43" s="14">
        <f t="shared" si="92"/>
        <v>0.50798170260474462</v>
      </c>
      <c r="F43" s="14">
        <f t="shared" si="92"/>
        <v>9.2229105434105563E-2</v>
      </c>
      <c r="G43" s="14">
        <f>(G42/F42)-1</f>
        <v>3.0669651404251486E-3</v>
      </c>
      <c r="H43" s="14">
        <f>(H42/G42)-1</f>
        <v>2.1533785792678506E-2</v>
      </c>
      <c r="I43" s="15">
        <v>-0.1134</v>
      </c>
      <c r="J43" s="15">
        <v>4.5600000000000002E-2</v>
      </c>
      <c r="K43" s="15">
        <v>8.43E-2</v>
      </c>
      <c r="L43" s="15">
        <v>7.6499999999999999E-2</v>
      </c>
      <c r="M43" s="15">
        <v>7.2300000000000003E-2</v>
      </c>
    </row>
    <row r="44" spans="1:18" s="18" customFormat="1" ht="12" x14ac:dyDescent="0.15">
      <c r="A44" s="13" t="s">
        <v>22</v>
      </c>
      <c r="B44" s="14">
        <f>B42/B48</f>
        <v>0.11569893185396754</v>
      </c>
      <c r="C44" s="14">
        <f t="shared" ref="C44:M44" si="93">C42/C48</f>
        <v>0.10095506666680452</v>
      </c>
      <c r="D44" s="14">
        <f t="shared" si="93"/>
        <v>0.10409252091714649</v>
      </c>
      <c r="E44" s="14">
        <f t="shared" si="93"/>
        <v>0.12214772843911641</v>
      </c>
      <c r="F44" s="14">
        <f t="shared" si="93"/>
        <v>0.12013497027057128</v>
      </c>
      <c r="G44" s="14">
        <f t="shared" si="93"/>
        <v>0.12277966413956982</v>
      </c>
      <c r="H44" s="14">
        <f t="shared" si="93"/>
        <v>0.12063139257921685</v>
      </c>
      <c r="I44" s="14">
        <f t="shared" si="93"/>
        <v>0.109208047878917</v>
      </c>
      <c r="J44" s="14">
        <f t="shared" si="93"/>
        <v>0.11242852312023183</v>
      </c>
      <c r="K44" s="14">
        <f t="shared" si="93"/>
        <v>0.11587943056895682</v>
      </c>
      <c r="L44" s="14">
        <f t="shared" si="93"/>
        <v>0.11782183076037747</v>
      </c>
      <c r="M44" s="14">
        <f t="shared" si="93"/>
        <v>0.11862718531561588</v>
      </c>
    </row>
    <row r="45" spans="1:18" s="12" customFormat="1" ht="12" x14ac:dyDescent="0.15">
      <c r="A45" s="10" t="s">
        <v>26</v>
      </c>
      <c r="B45" s="6">
        <f>2.767963+1.893895+1.203165+0.901482+1.010443+0.85956+0.400716+0.17511</f>
        <v>9.2123340000000002</v>
      </c>
      <c r="C45" s="6">
        <f>1.391117+1.003766+0.696387+0.634113+0.574568+0.476192+0.219992+0.086597</f>
        <v>5.0827320000000009</v>
      </c>
      <c r="D45" s="6">
        <f>2.127685+1.587513+1.098496+0.949612+0.924128+0.796522+0.374844+0.133643</f>
        <v>7.9924429999999997</v>
      </c>
      <c r="E45" s="6">
        <f>2.61391+1.975798+1.307403+1.179391+1.084021+0.932872+0.431424+0.168248</f>
        <v>9.6930669999999992</v>
      </c>
      <c r="F45" s="6">
        <f>3.220833+2.189862+1.603625+1.384262+1.115822+0.928025+0.470721+0.180533</f>
        <v>11.093683</v>
      </c>
      <c r="G45" s="6">
        <f>3.181068+2.176798+1.041533+1.315216+1.209626+0.963083+0.587494+0.218971</f>
        <v>10.693788999999999</v>
      </c>
      <c r="H45" s="6">
        <f>3.318207+2.2242+1.28235+1.518965+1.344757+0.985235+0.717134+0.231881</f>
        <v>11.622729</v>
      </c>
      <c r="I45" s="11">
        <f>H45*(1+I46)</f>
        <v>11.4797694333</v>
      </c>
      <c r="J45" s="11">
        <f t="shared" ref="J45" si="94">I45*(1+J46)</f>
        <v>11.83334633184564</v>
      </c>
      <c r="K45" s="11">
        <f t="shared" ref="K45" si="95">J45*(1+K46)</f>
        <v>12.335080216315895</v>
      </c>
      <c r="L45" s="11">
        <f t="shared" ref="L45" si="96">K45*(1+L46)</f>
        <v>12.698965082697214</v>
      </c>
      <c r="M45" s="11">
        <f t="shared" ref="M45" si="97">L45*(1+M46)</f>
        <v>13.081203931686399</v>
      </c>
      <c r="O45" s="29">
        <f>(H45/B45)^(1/6)-1</f>
        <v>3.9496598986390907E-2</v>
      </c>
      <c r="P45" s="29">
        <f>(H45/E45)^(1/3)-1</f>
        <v>6.2385902271865801E-2</v>
      </c>
      <c r="Q45" s="29">
        <f>(M45/H45)^(1/5)-1</f>
        <v>2.3924467397840266E-2</v>
      </c>
      <c r="R45" s="29">
        <f>(M45/I45)^(1/4)-1</f>
        <v>3.318629729125977E-2</v>
      </c>
    </row>
    <row r="46" spans="1:18" s="16" customFormat="1" ht="12" x14ac:dyDescent="0.15">
      <c r="A46" s="13" t="s">
        <v>13</v>
      </c>
      <c r="B46" s="14"/>
      <c r="C46" s="14">
        <f t="shared" ref="C46:F46" si="98">(C45/B45)-1</f>
        <v>-0.44826881005399921</v>
      </c>
      <c r="D46" s="14">
        <f t="shared" si="98"/>
        <v>0.57246988430631363</v>
      </c>
      <c r="E46" s="14">
        <f t="shared" si="98"/>
        <v>0.21277899635943598</v>
      </c>
      <c r="F46" s="14">
        <f t="shared" si="98"/>
        <v>0.1444966799466052</v>
      </c>
      <c r="G46" s="14">
        <f>(G45/F45)-1</f>
        <v>-3.6047000802168383E-2</v>
      </c>
      <c r="H46" s="14">
        <f>(H45/G45)-1</f>
        <v>8.6867246024772138E-2</v>
      </c>
      <c r="I46" s="15">
        <v>-1.23E-2</v>
      </c>
      <c r="J46" s="15">
        <v>3.0800000000000001E-2</v>
      </c>
      <c r="K46" s="15">
        <v>4.24E-2</v>
      </c>
      <c r="L46" s="15">
        <v>2.9499999999999998E-2</v>
      </c>
      <c r="M46" s="15">
        <v>3.0099999999999998E-2</v>
      </c>
    </row>
    <row r="47" spans="1:18" s="18" customFormat="1" ht="12" x14ac:dyDescent="0.15">
      <c r="A47" s="13" t="s">
        <v>22</v>
      </c>
      <c r="B47" s="14">
        <f>B45/B48</f>
        <v>0.21071909194434932</v>
      </c>
      <c r="C47" s="14">
        <f t="shared" ref="C47:M47" si="99">C45/C48</f>
        <v>0.20212805978883885</v>
      </c>
      <c r="D47" s="14">
        <f t="shared" si="99"/>
        <v>0.20180537117442271</v>
      </c>
      <c r="E47" s="14">
        <f t="shared" si="99"/>
        <v>0.19045140659956619</v>
      </c>
      <c r="F47" s="14">
        <f t="shared" si="99"/>
        <v>0.19627682617283135</v>
      </c>
      <c r="G47" s="14">
        <f t="shared" si="99"/>
        <v>0.19277555130902574</v>
      </c>
      <c r="H47" s="14">
        <f t="shared" si="99"/>
        <v>0.2015160400139773</v>
      </c>
      <c r="I47" s="14">
        <f t="shared" si="99"/>
        <v>0.20323628593126028</v>
      </c>
      <c r="J47" s="14">
        <f t="shared" si="99"/>
        <v>0.2062680423167782</v>
      </c>
      <c r="K47" s="14">
        <f t="shared" si="99"/>
        <v>0.20438392651932677</v>
      </c>
      <c r="L47" s="14">
        <f t="shared" si="99"/>
        <v>0.19873688087839933</v>
      </c>
      <c r="M47" s="14">
        <f t="shared" si="99"/>
        <v>0.19222063599567993</v>
      </c>
    </row>
    <row r="48" spans="1:18" s="22" customFormat="1" ht="12" x14ac:dyDescent="0.15">
      <c r="A48" s="19" t="s">
        <v>27</v>
      </c>
      <c r="B48" s="20">
        <f t="shared" ref="B48:M48" si="100">SUM(B33+B39+B36+B42+B45)</f>
        <v>43.718553999999997</v>
      </c>
      <c r="C48" s="20">
        <f t="shared" si="100"/>
        <v>25.146097999999999</v>
      </c>
      <c r="D48" s="20">
        <f t="shared" si="100"/>
        <v>39.604709</v>
      </c>
      <c r="E48" s="20">
        <f t="shared" si="100"/>
        <v>50.895223999999999</v>
      </c>
      <c r="F48" s="20">
        <f t="shared" si="100"/>
        <v>56.520595</v>
      </c>
      <c r="G48" s="20">
        <f t="shared" si="100"/>
        <v>55.472744999999989</v>
      </c>
      <c r="H48" s="20">
        <f t="shared" si="100"/>
        <v>57.676445999999991</v>
      </c>
      <c r="I48" s="20">
        <f t="shared" si="100"/>
        <v>56.484841674299993</v>
      </c>
      <c r="J48" s="20">
        <f t="shared" si="100"/>
        <v>57.368781896288425</v>
      </c>
      <c r="K48" s="20">
        <f t="shared" si="100"/>
        <v>60.352496531323247</v>
      </c>
      <c r="L48" s="20">
        <f t="shared" si="100"/>
        <v>63.898381752641569</v>
      </c>
      <c r="M48" s="20">
        <f t="shared" si="100"/>
        <v>68.053067580009426</v>
      </c>
      <c r="O48" s="29">
        <f>(H48/B48)^(1/6)-1</f>
        <v>4.7262253166092227E-2</v>
      </c>
      <c r="P48" s="29">
        <f>(H48/E48)^(1/3)-1</f>
        <v>4.2574632842261595E-2</v>
      </c>
      <c r="Q48" s="29">
        <f>(M48/H48)^(1/5)-1</f>
        <v>3.3641274727071346E-2</v>
      </c>
      <c r="R48" s="29">
        <f>(M48/I48)^(1/4)-1</f>
        <v>4.7680709844831748E-2</v>
      </c>
    </row>
    <row r="49" spans="1:18" s="16" customFormat="1" ht="12" x14ac:dyDescent="0.15">
      <c r="A49" s="13" t="s">
        <v>13</v>
      </c>
      <c r="B49" s="14"/>
      <c r="C49" s="14">
        <f t="shared" ref="C49:F49" si="101">(C48/B48)-1</f>
        <v>-0.42481862506248491</v>
      </c>
      <c r="D49" s="14">
        <f t="shared" si="101"/>
        <v>0.57498427787881856</v>
      </c>
      <c r="E49" s="14">
        <f t="shared" si="101"/>
        <v>0.28508011509439446</v>
      </c>
      <c r="F49" s="14">
        <f t="shared" si="101"/>
        <v>0.1105284653035421</v>
      </c>
      <c r="G49" s="14">
        <f>(G48/F48)-1</f>
        <v>-1.8539259892787929E-2</v>
      </c>
      <c r="H49" s="14">
        <f>(H48/G48)-1</f>
        <v>3.9725832929306204E-2</v>
      </c>
      <c r="I49" s="14">
        <f t="shared" ref="I49:M49" si="102">(I48/H48)-1</f>
        <v>-2.0660155199229813E-2</v>
      </c>
      <c r="J49" s="14">
        <f t="shared" si="102"/>
        <v>1.5649158177433842E-2</v>
      </c>
      <c r="K49" s="14">
        <f t="shared" si="102"/>
        <v>5.2009377511776256E-2</v>
      </c>
      <c r="L49" s="14">
        <f t="shared" si="102"/>
        <v>5.8752917030996166E-2</v>
      </c>
      <c r="M49" s="14">
        <f t="shared" si="102"/>
        <v>6.5020204164968565E-2</v>
      </c>
    </row>
    <row r="50" spans="1:18" s="16" customFormat="1" x14ac:dyDescent="0.15">
      <c r="A50" s="13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8" s="12" customFormat="1" ht="12" x14ac:dyDescent="0.15">
      <c r="A51" s="24" t="s">
        <v>144</v>
      </c>
      <c r="B51" s="14"/>
      <c r="C51" s="6"/>
      <c r="D51" s="6"/>
      <c r="E51" s="6"/>
      <c r="F51" s="6"/>
      <c r="G51" s="6"/>
      <c r="H51" s="6"/>
      <c r="I51" s="11"/>
      <c r="J51" s="11"/>
      <c r="K51" s="11"/>
      <c r="L51" s="11"/>
      <c r="M51" s="11"/>
    </row>
    <row r="52" spans="1:18" s="12" customFormat="1" ht="12" x14ac:dyDescent="0.15">
      <c r="A52" s="10" t="s">
        <v>28</v>
      </c>
      <c r="B52" s="23">
        <v>0.51098500000000002</v>
      </c>
      <c r="C52" s="23">
        <v>0.36772500000000002</v>
      </c>
      <c r="D52" s="23">
        <v>0.489338</v>
      </c>
      <c r="E52" s="23">
        <v>0.55316699999999996</v>
      </c>
      <c r="F52" s="23">
        <v>0.55956499999999998</v>
      </c>
      <c r="G52" s="23">
        <v>0.53981199999999996</v>
      </c>
      <c r="H52" s="23">
        <v>0.56275900000000001</v>
      </c>
      <c r="I52" s="11">
        <f>H52*(1+I53)</f>
        <v>0.54767705879999995</v>
      </c>
      <c r="J52" s="11">
        <f t="shared" ref="J52" si="103">I52*(1+J53)</f>
        <v>0.55611128550552003</v>
      </c>
      <c r="K52" s="11">
        <f t="shared" ref="K52" si="104">J52*(1+K53)</f>
        <v>0.56089384256086749</v>
      </c>
      <c r="L52" s="11">
        <f t="shared" ref="L52" si="105">K52*(1+L53)</f>
        <v>0.56768065805585399</v>
      </c>
      <c r="M52" s="11">
        <f t="shared" ref="M52" si="106">L52*(1+M53)</f>
        <v>0.57892073508535991</v>
      </c>
      <c r="O52" s="29">
        <f>(H52/B52)^(1/6)-1</f>
        <v>1.6215269522473985E-2</v>
      </c>
      <c r="P52" s="29">
        <f>(H52/E52)^(1/3)-1</f>
        <v>5.7469599323982656E-3</v>
      </c>
      <c r="Q52" s="29">
        <f>(M52/H52)^(1/5)-1</f>
        <v>5.678883263039447E-3</v>
      </c>
      <c r="R52" s="29">
        <f>(M52/I52)^(1/4)-1</f>
        <v>1.3966574894532791E-2</v>
      </c>
    </row>
    <row r="53" spans="1:18" s="18" customFormat="1" ht="12" x14ac:dyDescent="0.15">
      <c r="A53" s="13" t="s">
        <v>13</v>
      </c>
      <c r="B53" s="69"/>
      <c r="C53" s="14">
        <f t="shared" ref="C53" si="107">(C52/B52)-1</f>
        <v>-0.28036048024893101</v>
      </c>
      <c r="D53" s="14">
        <f t="shared" ref="D53" si="108">(D52/C52)-1</f>
        <v>0.33071724794343593</v>
      </c>
      <c r="E53" s="14">
        <f t="shared" ref="E53" si="109">(E52/D52)-1</f>
        <v>0.13043949172146863</v>
      </c>
      <c r="F53" s="14">
        <f t="shared" ref="F53" si="110">(F52/E52)-1</f>
        <v>1.1566127408178861E-2</v>
      </c>
      <c r="G53" s="14">
        <f>(G52/F52)-1</f>
        <v>-3.5300635314932216E-2</v>
      </c>
      <c r="H53" s="14">
        <f>(H52/G52)-1</f>
        <v>4.2509243959008014E-2</v>
      </c>
      <c r="I53" s="14">
        <v>-2.6800000000000001E-2</v>
      </c>
      <c r="J53" s="14">
        <v>1.54E-2</v>
      </c>
      <c r="K53" s="14">
        <v>8.6E-3</v>
      </c>
      <c r="L53" s="14">
        <v>1.21E-2</v>
      </c>
      <c r="M53" s="14">
        <v>1.9800000000000002E-2</v>
      </c>
    </row>
    <row r="54" spans="1:18" s="12" customFormat="1" ht="12" x14ac:dyDescent="0.15">
      <c r="A54" s="10" t="s">
        <v>159</v>
      </c>
      <c r="B54" s="6">
        <f t="shared" ref="B54:M54" si="111">B48/B52</f>
        <v>85.557411665704464</v>
      </c>
      <c r="C54" s="6">
        <f t="shared" si="111"/>
        <v>68.38288938744985</v>
      </c>
      <c r="D54" s="6">
        <f t="shared" si="111"/>
        <v>80.935281952351957</v>
      </c>
      <c r="E54" s="6">
        <f t="shared" si="111"/>
        <v>92.006978001218442</v>
      </c>
      <c r="F54" s="6">
        <f t="shared" si="111"/>
        <v>101.00809557424071</v>
      </c>
      <c r="G54" s="6">
        <f t="shared" si="111"/>
        <v>102.76308233236755</v>
      </c>
      <c r="H54" s="6">
        <f t="shared" si="111"/>
        <v>102.48871364118564</v>
      </c>
      <c r="I54" s="6">
        <f t="shared" si="111"/>
        <v>103.13530714261131</v>
      </c>
      <c r="J54" s="6">
        <f t="shared" si="111"/>
        <v>103.16061441576153</v>
      </c>
      <c r="K54" s="6">
        <f t="shared" si="111"/>
        <v>107.60056886303556</v>
      </c>
      <c r="L54" s="6">
        <f t="shared" si="111"/>
        <v>112.56043489569556</v>
      </c>
      <c r="M54" s="6">
        <f t="shared" si="111"/>
        <v>117.55161536920116</v>
      </c>
      <c r="O54" s="29">
        <f>(H54/B54)^(1/6)-1</f>
        <v>3.0551581515014581E-2</v>
      </c>
      <c r="P54" s="29">
        <f>(H54/E54)^(1/3)-1</f>
        <v>3.6617235126754633E-2</v>
      </c>
      <c r="Q54" s="29">
        <f>(M54/H54)^(1/5)-1</f>
        <v>2.7804492994130126E-2</v>
      </c>
      <c r="R54" s="29">
        <f>(M54/I54)^(1/4)-1</f>
        <v>3.3249749829086461E-2</v>
      </c>
    </row>
    <row r="55" spans="1:18" s="18" customFormat="1" ht="12" x14ac:dyDescent="0.15">
      <c r="A55" s="13" t="s">
        <v>13</v>
      </c>
      <c r="B55" s="69"/>
      <c r="C55" s="14">
        <f t="shared" ref="C55" si="112">(C54/B54)-1</f>
        <v>-0.20073681454226355</v>
      </c>
      <c r="D55" s="14">
        <f t="shared" ref="D55" si="113">(D54/C54)-1</f>
        <v>0.18356042977040121</v>
      </c>
      <c r="E55" s="14">
        <f t="shared" ref="E55" si="114">(E54/D54)-1</f>
        <v>0.1367969046600046</v>
      </c>
      <c r="F55" s="14">
        <f t="shared" ref="F55" si="115">(F54/E54)-1</f>
        <v>9.7830814233492935E-2</v>
      </c>
      <c r="G55" s="14">
        <f>(G54/F54)-1</f>
        <v>1.7374713859810598E-2</v>
      </c>
      <c r="H55" s="14">
        <f>(H54/G54)-1</f>
        <v>-2.6699149631821406E-3</v>
      </c>
      <c r="I55" s="14">
        <f t="shared" ref="I55:M55" si="116">(I54/H54)-1</f>
        <v>6.308923962978108E-3</v>
      </c>
      <c r="J55" s="14">
        <f t="shared" si="116"/>
        <v>2.4537933566470826E-4</v>
      </c>
      <c r="K55" s="14">
        <f t="shared" si="116"/>
        <v>4.3039240047368921E-2</v>
      </c>
      <c r="L55" s="14">
        <f t="shared" si="116"/>
        <v>4.6095165528106108E-2</v>
      </c>
      <c r="M55" s="14">
        <f t="shared" si="116"/>
        <v>4.4342228049586652E-2</v>
      </c>
    </row>
    <row r="56" spans="1:18" s="12" customFormat="1" x14ac:dyDescent="0.15">
      <c r="A56" s="10"/>
      <c r="B56" s="6"/>
      <c r="C56" s="6"/>
      <c r="D56" s="6"/>
      <c r="E56" s="6"/>
      <c r="F56" s="6"/>
      <c r="G56" s="6"/>
      <c r="H56" s="6"/>
      <c r="I56" s="11"/>
      <c r="J56" s="11"/>
      <c r="K56" s="11"/>
      <c r="L56" s="11"/>
      <c r="M56" s="11"/>
    </row>
    <row r="57" spans="1:18" s="12" customFormat="1" ht="24" x14ac:dyDescent="0.15">
      <c r="A57" s="10" t="s">
        <v>29</v>
      </c>
      <c r="B57" s="6">
        <v>43.592199999999998</v>
      </c>
      <c r="C57" s="6">
        <v>25.087599999999998</v>
      </c>
      <c r="D57" s="6">
        <v>39.524900000000002</v>
      </c>
      <c r="E57" s="6">
        <v>50.778100000000002</v>
      </c>
      <c r="F57" s="6">
        <v>56.5045</v>
      </c>
      <c r="G57" s="6">
        <v>55.322200000000002</v>
      </c>
      <c r="H57" s="6">
        <v>57.375399999999999</v>
      </c>
      <c r="I57" s="11">
        <f>I48</f>
        <v>56.484841674299993</v>
      </c>
      <c r="J57" s="11">
        <f t="shared" ref="J57:M57" si="117">J48</f>
        <v>57.368781896288425</v>
      </c>
      <c r="K57" s="11">
        <f t="shared" si="117"/>
        <v>60.352496531323247</v>
      </c>
      <c r="L57" s="11">
        <f t="shared" si="117"/>
        <v>63.898381752641569</v>
      </c>
      <c r="M57" s="11">
        <f t="shared" si="117"/>
        <v>68.053067580009426</v>
      </c>
      <c r="O57" s="29">
        <f>(H57/B57)^(1/6)-1</f>
        <v>4.685409561167142E-2</v>
      </c>
      <c r="P57" s="29">
        <f>(H57/E57)^(1/3)-1</f>
        <v>4.1557122844466443E-2</v>
      </c>
      <c r="Q57" s="29">
        <f>(M57/H57)^(1/5)-1</f>
        <v>3.472369867361258E-2</v>
      </c>
      <c r="R57" s="29">
        <f>(M57/I57)^(1/4)-1</f>
        <v>4.7680709844831748E-2</v>
      </c>
    </row>
    <row r="58" spans="1:18" s="18" customFormat="1" ht="12" x14ac:dyDescent="0.15">
      <c r="A58" s="13" t="s">
        <v>13</v>
      </c>
      <c r="B58" s="69"/>
      <c r="C58" s="14">
        <f t="shared" ref="C58:F58" si="118">(C57/B57)-1</f>
        <v>-0.42449337266758735</v>
      </c>
      <c r="D58" s="14">
        <f t="shared" si="118"/>
        <v>0.57547553372981097</v>
      </c>
      <c r="E58" s="14">
        <f t="shared" si="118"/>
        <v>0.28471166277460536</v>
      </c>
      <c r="F58" s="14">
        <f t="shared" si="118"/>
        <v>0.1127730261667923</v>
      </c>
      <c r="G58" s="14">
        <f>(G57/F57)-1</f>
        <v>-2.0923997203762479E-2</v>
      </c>
      <c r="H58" s="14">
        <f>(H57/G57)-1</f>
        <v>3.7113491509737528E-2</v>
      </c>
      <c r="I58" s="14">
        <f t="shared" ref="I58:M58" si="119">(I57/H57)-1</f>
        <v>-1.5521605526061744E-2</v>
      </c>
      <c r="J58" s="14">
        <f t="shared" si="119"/>
        <v>1.5649158177433842E-2</v>
      </c>
      <c r="K58" s="14">
        <f t="shared" si="119"/>
        <v>5.2009377511776256E-2</v>
      </c>
      <c r="L58" s="14">
        <f t="shared" si="119"/>
        <v>5.8752917030996166E-2</v>
      </c>
      <c r="M58" s="14">
        <f t="shared" si="119"/>
        <v>6.5020204164968565E-2</v>
      </c>
    </row>
    <row r="59" spans="1:18" s="22" customFormat="1" ht="24" x14ac:dyDescent="0.15">
      <c r="A59" s="19" t="s">
        <v>30</v>
      </c>
      <c r="B59" s="20">
        <v>5.1163999999999996</v>
      </c>
      <c r="C59" s="20">
        <v>2.2239900000000001</v>
      </c>
      <c r="D59" s="20">
        <v>3.4123000000000001</v>
      </c>
      <c r="E59" s="20">
        <v>5.9181999999999997</v>
      </c>
      <c r="F59" s="20">
        <v>6.96</v>
      </c>
      <c r="G59" s="20">
        <v>6.8341000000000003</v>
      </c>
      <c r="H59" s="20">
        <v>6.3102999999999998</v>
      </c>
      <c r="I59" s="21">
        <f>H59*(1+I60)</f>
        <v>4.9504303499999995</v>
      </c>
      <c r="J59" s="21">
        <f t="shared" ref="J59" si="120">I59*(1+J60)</f>
        <v>5.5613134551899996</v>
      </c>
      <c r="K59" s="21">
        <f t="shared" ref="K59" si="121">J59*(1+K60)</f>
        <v>6.0301321794625169</v>
      </c>
      <c r="L59" s="21">
        <f t="shared" ref="L59" si="122">K59*(1+L60)</f>
        <v>6.478171000396582</v>
      </c>
      <c r="M59" s="21">
        <f t="shared" ref="M59" si="123">L59*(1+M60)</f>
        <v>6.8344704054183936</v>
      </c>
      <c r="O59" s="29">
        <f>(H59/B59)^(1/6)-1</f>
        <v>3.5573478432027184E-2</v>
      </c>
      <c r="P59" s="29">
        <f>(H59/E59)^(1/3)-1</f>
        <v>2.1613891534715046E-2</v>
      </c>
      <c r="Q59" s="29">
        <f>(M59/H59)^(1/5)-1</f>
        <v>1.6087180531027423E-2</v>
      </c>
      <c r="R59" s="29">
        <f>(M59/I59)^(1/4)-1</f>
        <v>8.3965545651135676E-2</v>
      </c>
    </row>
    <row r="60" spans="1:18" s="18" customFormat="1" ht="12" x14ac:dyDescent="0.15">
      <c r="A60" s="13" t="s">
        <v>13</v>
      </c>
      <c r="B60" s="69"/>
      <c r="C60" s="14">
        <f t="shared" ref="C60:F60" si="124">(C59/B59)-1</f>
        <v>-0.56532131967789845</v>
      </c>
      <c r="D60" s="14">
        <f t="shared" si="124"/>
        <v>0.53431445285275569</v>
      </c>
      <c r="E60" s="14">
        <f t="shared" si="124"/>
        <v>0.7343727104885267</v>
      </c>
      <c r="F60" s="14">
        <f t="shared" si="124"/>
        <v>0.1760332533540605</v>
      </c>
      <c r="G60" s="14">
        <f>(G59/F59)-1</f>
        <v>-1.808908045977009E-2</v>
      </c>
      <c r="H60" s="14">
        <f>(H59/G59)-1</f>
        <v>-7.6645059334806365E-2</v>
      </c>
      <c r="I60" s="14">
        <v>-0.2155</v>
      </c>
      <c r="J60" s="14">
        <v>0.1234</v>
      </c>
      <c r="K60" s="14">
        <v>8.43E-2</v>
      </c>
      <c r="L60" s="14">
        <v>7.4300000000000005E-2</v>
      </c>
      <c r="M60" s="14">
        <v>5.5E-2</v>
      </c>
    </row>
    <row r="61" spans="1:18" s="12" customFormat="1" ht="24" x14ac:dyDescent="0.15">
      <c r="A61" s="19" t="s">
        <v>31</v>
      </c>
      <c r="B61" s="20">
        <f t="shared" ref="B61:E61" si="125">SUM(B57+B59)</f>
        <v>48.708599999999997</v>
      </c>
      <c r="C61" s="20">
        <f t="shared" si="125"/>
        <v>27.311589999999999</v>
      </c>
      <c r="D61" s="20">
        <f t="shared" si="125"/>
        <v>42.937200000000004</v>
      </c>
      <c r="E61" s="20">
        <f t="shared" si="125"/>
        <v>56.696300000000001</v>
      </c>
      <c r="F61" s="20">
        <f>SUM(F57+F59)</f>
        <v>63.464500000000001</v>
      </c>
      <c r="G61" s="20">
        <f t="shared" ref="G61:M61" si="126">SUM(G57+G59)</f>
        <v>62.156300000000002</v>
      </c>
      <c r="H61" s="20">
        <f t="shared" si="126"/>
        <v>63.685699999999997</v>
      </c>
      <c r="I61" s="20">
        <f t="shared" si="126"/>
        <v>61.435272024299991</v>
      </c>
      <c r="J61" s="20">
        <f t="shared" si="126"/>
        <v>62.930095351478428</v>
      </c>
      <c r="K61" s="20">
        <f t="shared" si="126"/>
        <v>66.382628710785767</v>
      </c>
      <c r="L61" s="20">
        <f t="shared" si="126"/>
        <v>70.376552753038155</v>
      </c>
      <c r="M61" s="20">
        <f t="shared" si="126"/>
        <v>74.887537985427826</v>
      </c>
      <c r="O61" s="29">
        <f>(H61/B61)^(1/6)-1</f>
        <v>4.5697444307489343E-2</v>
      </c>
      <c r="P61" s="29">
        <f>(H61/E61)^(1/3)-1</f>
        <v>3.9510952839634683E-2</v>
      </c>
      <c r="Q61" s="29">
        <f>(M61/H61)^(1/5)-1</f>
        <v>3.2936265117346597E-2</v>
      </c>
      <c r="R61" s="29">
        <f>(M61/I61)^(1/4)-1</f>
        <v>5.0746475234005217E-2</v>
      </c>
    </row>
    <row r="62" spans="1:18" s="18" customFormat="1" ht="12" x14ac:dyDescent="0.15">
      <c r="A62" s="13" t="s">
        <v>13</v>
      </c>
      <c r="B62" s="69"/>
      <c r="C62" s="14">
        <f t="shared" ref="C62:F62" si="127">(C61/B61)-1</f>
        <v>-0.4392860808974185</v>
      </c>
      <c r="D62" s="14">
        <f t="shared" si="127"/>
        <v>0.5721237760232929</v>
      </c>
      <c r="E62" s="14">
        <f t="shared" si="127"/>
        <v>0.32044707153703533</v>
      </c>
      <c r="F62" s="14">
        <f t="shared" si="127"/>
        <v>0.1193763966960808</v>
      </c>
      <c r="G62" s="14">
        <f>(G61/F61)-1</f>
        <v>-2.0613098661456442E-2</v>
      </c>
      <c r="H62" s="14">
        <f>(H61/G61)-1</f>
        <v>2.460571172994519E-2</v>
      </c>
      <c r="I62" s="14">
        <f t="shared" ref="I62:M62" si="128">(I61/H61)-1</f>
        <v>-3.5336472327382906E-2</v>
      </c>
      <c r="J62" s="14">
        <f t="shared" si="128"/>
        <v>2.4331679146585072E-2</v>
      </c>
      <c r="K62" s="14">
        <f t="shared" si="128"/>
        <v>5.4862992659143073E-2</v>
      </c>
      <c r="L62" s="14">
        <f t="shared" si="128"/>
        <v>6.0165198634314798E-2</v>
      </c>
      <c r="M62" s="14">
        <f t="shared" si="128"/>
        <v>6.4097843044677028E-2</v>
      </c>
    </row>
    <row r="63" spans="1:18" s="12" customFormat="1" ht="12" x14ac:dyDescent="0.15">
      <c r="A63" s="10" t="s">
        <v>32</v>
      </c>
      <c r="B63" s="6">
        <f>2.1456+0.0907</f>
        <v>2.2363</v>
      </c>
      <c r="C63" s="6">
        <f>2.0809+0.1423</f>
        <v>2.2232000000000003</v>
      </c>
      <c r="D63" s="6">
        <f>2.5729+0.1627</f>
        <v>2.7356000000000003</v>
      </c>
      <c r="E63" s="6">
        <f>2.4094+0.1694</f>
        <v>2.5788000000000002</v>
      </c>
      <c r="F63" s="6">
        <f>2.3219+0.2217</f>
        <v>2.5435999999999996</v>
      </c>
      <c r="G63" s="6">
        <f>2.4585+0.3148</f>
        <v>2.7732999999999999</v>
      </c>
      <c r="H63" s="6">
        <f>2.5482+0.271</f>
        <v>2.8191999999999999</v>
      </c>
      <c r="I63" s="11">
        <f>H63*(1+I64)</f>
        <v>2.9164623999999999</v>
      </c>
      <c r="J63" s="11">
        <f t="shared" ref="J63" si="129">I63*(1+J64)</f>
        <v>3.0033729795199999</v>
      </c>
      <c r="K63" s="11">
        <f t="shared" ref="K63" si="130">J63*(1+K64)</f>
        <v>3.1078903592072957</v>
      </c>
      <c r="L63" s="11">
        <f t="shared" ref="L63" si="131">K63*(1+L64)</f>
        <v>3.2297196612882213</v>
      </c>
      <c r="M63" s="11">
        <f t="shared" ref="M63" si="132">L63*(1+M64)</f>
        <v>3.2975437741752738</v>
      </c>
      <c r="O63" s="29">
        <f>(H63/B63)^(1/6)-1</f>
        <v>3.9359932033270262E-2</v>
      </c>
      <c r="P63" s="29">
        <f>(H63/E63)^(1/3)-1</f>
        <v>3.0155396003839652E-2</v>
      </c>
      <c r="Q63" s="29">
        <f>(M63/H63)^(1/5)-1</f>
        <v>3.1841370763252108E-2</v>
      </c>
      <c r="R63" s="29">
        <f>(M63/I63)^(1/4)-1</f>
        <v>3.1177781732197651E-2</v>
      </c>
    </row>
    <row r="64" spans="1:18" s="18" customFormat="1" ht="12" x14ac:dyDescent="0.15">
      <c r="A64" s="13" t="s">
        <v>13</v>
      </c>
      <c r="B64" s="69"/>
      <c r="C64" s="14">
        <f t="shared" ref="C64:F64" si="133">(C63/B63)-1</f>
        <v>-5.8578902651700293E-3</v>
      </c>
      <c r="D64" s="14">
        <f t="shared" si="133"/>
        <v>0.23047858942065491</v>
      </c>
      <c r="E64" s="14">
        <f t="shared" si="133"/>
        <v>-5.7318321392016425E-2</v>
      </c>
      <c r="F64" s="14">
        <f t="shared" si="133"/>
        <v>-1.3649759578098553E-2</v>
      </c>
      <c r="G64" s="14">
        <f>(G63/F63)-1</f>
        <v>9.0305079415002432E-2</v>
      </c>
      <c r="H64" s="14">
        <f>(H63/G63)-1</f>
        <v>1.6550679695669368E-2</v>
      </c>
      <c r="I64" s="14">
        <v>3.4500000000000003E-2</v>
      </c>
      <c r="J64" s="14">
        <v>2.98E-2</v>
      </c>
      <c r="K64" s="14">
        <v>3.4799999999999998E-2</v>
      </c>
      <c r="L64" s="14">
        <v>3.9199999999999999E-2</v>
      </c>
      <c r="M64" s="14">
        <v>2.1000000000000001E-2</v>
      </c>
    </row>
    <row r="65" spans="1:18" s="12" customFormat="1" ht="12" x14ac:dyDescent="0.15">
      <c r="A65" s="19" t="s">
        <v>156</v>
      </c>
      <c r="B65" s="20">
        <f t="shared" ref="B65:E65" si="134">SUM(B61+B63)</f>
        <v>50.944899999999997</v>
      </c>
      <c r="C65" s="20">
        <f t="shared" si="134"/>
        <v>29.534790000000001</v>
      </c>
      <c r="D65" s="20">
        <f t="shared" si="134"/>
        <v>45.672800000000002</v>
      </c>
      <c r="E65" s="20">
        <f t="shared" si="134"/>
        <v>59.275100000000002</v>
      </c>
      <c r="F65" s="20">
        <f>SUM(F61+F63)</f>
        <v>66.008099999999999</v>
      </c>
      <c r="G65" s="20">
        <f t="shared" ref="G65:M65" si="135">SUM(G61+G63)</f>
        <v>64.929600000000008</v>
      </c>
      <c r="H65" s="20">
        <f t="shared" si="135"/>
        <v>66.504899999999992</v>
      </c>
      <c r="I65" s="20">
        <f t="shared" si="135"/>
        <v>64.351734424299991</v>
      </c>
      <c r="J65" s="20">
        <f t="shared" si="135"/>
        <v>65.933468330998423</v>
      </c>
      <c r="K65" s="20">
        <f t="shared" si="135"/>
        <v>69.490519069993056</v>
      </c>
      <c r="L65" s="20">
        <f t="shared" si="135"/>
        <v>73.606272414326369</v>
      </c>
      <c r="M65" s="20">
        <f t="shared" si="135"/>
        <v>78.185081759603094</v>
      </c>
      <c r="O65" s="29">
        <f>(H65/B65)^(1/6)-1</f>
        <v>4.5423251497326289E-2</v>
      </c>
      <c r="P65" s="29">
        <f>(H65/E65)^(1/3)-1</f>
        <v>3.9107429081175926E-2</v>
      </c>
      <c r="Q65" s="29">
        <f>(M65/H65)^(1/5)-1</f>
        <v>3.2889945739330129E-2</v>
      </c>
      <c r="R65" s="29">
        <f>(M65/I65)^(1/4)-1</f>
        <v>4.988301438280196E-2</v>
      </c>
    </row>
    <row r="66" spans="1:18" s="18" customFormat="1" ht="12" x14ac:dyDescent="0.15">
      <c r="A66" s="13" t="s">
        <v>13</v>
      </c>
      <c r="B66" s="69"/>
      <c r="C66" s="14">
        <f t="shared" ref="C66:F66" si="136">(C65/B65)-1</f>
        <v>-0.42026012417337155</v>
      </c>
      <c r="D66" s="14">
        <f t="shared" si="136"/>
        <v>0.54640679686566251</v>
      </c>
      <c r="E66" s="14">
        <f t="shared" si="136"/>
        <v>0.29782058468059769</v>
      </c>
      <c r="F66" s="14">
        <f t="shared" si="136"/>
        <v>0.11358901123743359</v>
      </c>
      <c r="G66" s="14">
        <f>(G65/F65)-1</f>
        <v>-1.6338903861798593E-2</v>
      </c>
      <c r="H66" s="14">
        <f>(H65/G65)-1</f>
        <v>2.4261661861461947E-2</v>
      </c>
      <c r="I66" s="14">
        <f t="shared" ref="I66:M66" si="137">(I65/H65)-1</f>
        <v>-3.2376044106524504E-2</v>
      </c>
      <c r="J66" s="14">
        <f t="shared" si="137"/>
        <v>2.4579506999288459E-2</v>
      </c>
      <c r="K66" s="14">
        <f t="shared" si="137"/>
        <v>5.3949091850250763E-2</v>
      </c>
      <c r="L66" s="14">
        <f t="shared" si="137"/>
        <v>5.9227552181439158E-2</v>
      </c>
      <c r="M66" s="14">
        <f t="shared" si="137"/>
        <v>6.2206782045731268E-2</v>
      </c>
    </row>
    <row r="67" spans="1:18" s="9" customFormat="1" x14ac:dyDescent="0.15">
      <c r="A67" s="13"/>
      <c r="B67" s="26"/>
      <c r="C67" s="26"/>
      <c r="D67" s="26"/>
      <c r="E67" s="26"/>
      <c r="F67" s="26"/>
      <c r="G67" s="26"/>
      <c r="H67" s="26"/>
      <c r="I67" s="27"/>
      <c r="J67" s="27"/>
      <c r="K67" s="27"/>
      <c r="L67" s="27"/>
      <c r="M67" s="27"/>
    </row>
    <row r="68" spans="1:18" s="9" customFormat="1" ht="11" customHeight="1" x14ac:dyDescent="0.15">
      <c r="A68" s="5" t="s">
        <v>33</v>
      </c>
      <c r="B68" s="26"/>
      <c r="C68" s="26"/>
      <c r="D68" s="26"/>
      <c r="E68" s="26"/>
      <c r="F68" s="26"/>
      <c r="G68" s="26"/>
      <c r="H68" s="26"/>
      <c r="I68" s="27"/>
      <c r="J68" s="27"/>
      <c r="K68" s="27"/>
      <c r="L68" s="27"/>
      <c r="M68" s="27"/>
    </row>
    <row r="69" spans="1:18" s="12" customFormat="1" ht="12" x14ac:dyDescent="0.15">
      <c r="A69" s="10" t="s">
        <v>34</v>
      </c>
      <c r="B69" s="6">
        <v>8589.2999999999993</v>
      </c>
      <c r="C69" s="6">
        <v>5929.6</v>
      </c>
      <c r="D69" s="6">
        <v>9976.6</v>
      </c>
      <c r="E69" s="6">
        <v>14443.6</v>
      </c>
      <c r="F69" s="6">
        <v>16061.2</v>
      </c>
      <c r="G69" s="6">
        <v>15674.9</v>
      </c>
      <c r="H69" s="6">
        <v>18739.900000000001</v>
      </c>
      <c r="I69" s="11">
        <f>I65*I73</f>
        <v>19117.807637136055</v>
      </c>
      <c r="J69" s="11">
        <f>J65*J73</f>
        <v>20786.482015898455</v>
      </c>
      <c r="K69" s="11">
        <f>K65*K73</f>
        <v>23193.887212026366</v>
      </c>
      <c r="L69" s="11">
        <f>L65*L73</f>
        <v>25791.071075149997</v>
      </c>
      <c r="M69" s="11">
        <f>M65*M73</f>
        <v>28669.33906571734</v>
      </c>
      <c r="O69" s="29">
        <f>(H69/B69)^(1/6)-1</f>
        <v>0.13885451936501814</v>
      </c>
      <c r="P69" s="29">
        <f>(H69/E69)^(1/3)-1</f>
        <v>9.0679805835403027E-2</v>
      </c>
      <c r="Q69" s="29">
        <f>(M69/H69)^(1/5)-1</f>
        <v>8.875479920391105E-2</v>
      </c>
      <c r="R69" s="29">
        <f>(M69/I69)^(1/4)-1</f>
        <v>0.10661078464870433</v>
      </c>
    </row>
    <row r="70" spans="1:18" s="16" customFormat="1" ht="12" x14ac:dyDescent="0.15">
      <c r="A70" s="13" t="s">
        <v>13</v>
      </c>
      <c r="B70" s="14"/>
      <c r="C70" s="14">
        <f t="shared" ref="C70:F70" si="138">(C69/B69)-1</f>
        <v>-0.30965270743832429</v>
      </c>
      <c r="D70" s="14">
        <f t="shared" si="138"/>
        <v>0.68250809498111176</v>
      </c>
      <c r="E70" s="14">
        <f t="shared" si="138"/>
        <v>0.44774772968746857</v>
      </c>
      <c r="F70" s="14">
        <f t="shared" si="138"/>
        <v>0.11199423966324185</v>
      </c>
      <c r="G70" s="14">
        <f>(G69/F69)-1</f>
        <v>-2.4051752048414921E-2</v>
      </c>
      <c r="H70" s="14">
        <f>(H69/G69)-1</f>
        <v>0.19553553770677978</v>
      </c>
      <c r="I70" s="14">
        <f t="shared" ref="I70:M70" si="139">(I69/H69)-1</f>
        <v>2.0165936698491205E-2</v>
      </c>
      <c r="J70" s="14">
        <f t="shared" si="139"/>
        <v>8.728377282764499E-2</v>
      </c>
      <c r="K70" s="14">
        <f t="shared" si="139"/>
        <v>0.11581590354186044</v>
      </c>
      <c r="L70" s="14">
        <f t="shared" si="139"/>
        <v>0.11197708428007513</v>
      </c>
      <c r="M70" s="14">
        <f t="shared" si="139"/>
        <v>0.11159939741085778</v>
      </c>
    </row>
    <row r="71" spans="1:18" s="16" customFormat="1" ht="12" x14ac:dyDescent="0.15">
      <c r="A71" s="13" t="s">
        <v>35</v>
      </c>
      <c r="B71" s="14">
        <f t="shared" ref="B71:H71" si="140">B69/B111</f>
        <v>0.81432919025000716</v>
      </c>
      <c r="C71" s="14">
        <f t="shared" si="140"/>
        <v>0.82062637529927884</v>
      </c>
      <c r="D71" s="14">
        <f t="shared" si="140"/>
        <v>0.83249332443257684</v>
      </c>
      <c r="E71" s="14">
        <f t="shared" si="140"/>
        <v>0.83312279730283167</v>
      </c>
      <c r="F71" s="14">
        <f t="shared" si="140"/>
        <v>0.83359456906484508</v>
      </c>
      <c r="G71" s="14">
        <f t="shared" si="140"/>
        <v>0.82023736015321658</v>
      </c>
      <c r="H71" s="14">
        <f t="shared" si="140"/>
        <v>0.82113671517270692</v>
      </c>
      <c r="I71" s="14">
        <f t="shared" ref="I71:M71" si="141">I69/I111</f>
        <v>0.82439503915508683</v>
      </c>
      <c r="J71" s="14">
        <f t="shared" si="141"/>
        <v>0.82788539270530725</v>
      </c>
      <c r="K71" s="14">
        <f t="shared" si="141"/>
        <v>0.83204588506599497</v>
      </c>
      <c r="L71" s="14">
        <f t="shared" si="141"/>
        <v>0.83422072572426809</v>
      </c>
      <c r="M71" s="14">
        <f t="shared" si="141"/>
        <v>0.83603887478623984</v>
      </c>
    </row>
    <row r="72" spans="1:18" s="16" customFormat="1" ht="24" x14ac:dyDescent="0.15">
      <c r="A72" s="13" t="s">
        <v>36</v>
      </c>
      <c r="B72" s="14">
        <f t="shared" ref="B72:M72" si="142">B69/B203</f>
        <v>0.59984496340577687</v>
      </c>
      <c r="C72" s="14">
        <f t="shared" si="142"/>
        <v>0.6129609146448618</v>
      </c>
      <c r="D72" s="14">
        <f t="shared" si="142"/>
        <v>0.63762910318028432</v>
      </c>
      <c r="E72" s="14">
        <f t="shared" si="142"/>
        <v>0.6409720465609593</v>
      </c>
      <c r="F72" s="14">
        <f t="shared" si="142"/>
        <v>0.63151520870686662</v>
      </c>
      <c r="G72" s="14">
        <f t="shared" si="142"/>
        <v>0.58527961048319943</v>
      </c>
      <c r="H72" s="14">
        <f t="shared" si="142"/>
        <v>0.5761496152320752</v>
      </c>
      <c r="I72" s="14">
        <f t="shared" si="142"/>
        <v>0.54435935055787987</v>
      </c>
      <c r="J72" s="14">
        <f t="shared" si="142"/>
        <v>0.53390270882096258</v>
      </c>
      <c r="K72" s="14">
        <f t="shared" si="142"/>
        <v>0.54252529816950712</v>
      </c>
      <c r="L72" s="14">
        <f t="shared" si="142"/>
        <v>0.54843158750099319</v>
      </c>
      <c r="M72" s="14">
        <f t="shared" si="142"/>
        <v>0.55421565378626159</v>
      </c>
    </row>
    <row r="73" spans="1:18" s="71" customFormat="1" ht="12" x14ac:dyDescent="0.15">
      <c r="A73" s="28" t="s">
        <v>37</v>
      </c>
      <c r="B73" s="35">
        <f t="shared" ref="B73:H73" si="143">B69/B65</f>
        <v>168.59980096143087</v>
      </c>
      <c r="C73" s="35">
        <f t="shared" si="143"/>
        <v>200.76662133030234</v>
      </c>
      <c r="D73" s="35">
        <f t="shared" si="143"/>
        <v>218.4363559930637</v>
      </c>
      <c r="E73" s="35">
        <f t="shared" si="143"/>
        <v>243.67061379904885</v>
      </c>
      <c r="F73" s="35">
        <f t="shared" si="143"/>
        <v>243.32165294865328</v>
      </c>
      <c r="G73" s="35">
        <f t="shared" si="143"/>
        <v>241.41377738350457</v>
      </c>
      <c r="H73" s="35">
        <f t="shared" si="143"/>
        <v>281.78224461656214</v>
      </c>
      <c r="I73" s="70">
        <f>H73*(1+I74)</f>
        <v>297.08302049924146</v>
      </c>
      <c r="J73" s="70">
        <f t="shared" ref="J73:M73" si="144">I73*(1+J74)</f>
        <v>315.26450135379503</v>
      </c>
      <c r="K73" s="70">
        <f t="shared" si="144"/>
        <v>333.77052758326278</v>
      </c>
      <c r="L73" s="70">
        <f t="shared" si="144"/>
        <v>350.39229985690929</v>
      </c>
      <c r="M73" s="70">
        <f t="shared" si="144"/>
        <v>366.68554180025558</v>
      </c>
      <c r="O73" s="72">
        <f>(H73/B73)^(1/6)-1</f>
        <v>8.9371714024796267E-2</v>
      </c>
      <c r="P73" s="72">
        <f>(H73/E73)^(1/3)-1</f>
        <v>4.963141953458039E-2</v>
      </c>
      <c r="Q73" s="72">
        <f>(M73/H73)^(1/5)-1</f>
        <v>5.408596888276751E-2</v>
      </c>
      <c r="R73" s="72">
        <f>(M73/I73)^(1/4)-1</f>
        <v>5.4032467892864311E-2</v>
      </c>
    </row>
    <row r="74" spans="1:18" s="18" customFormat="1" ht="12" x14ac:dyDescent="0.15">
      <c r="A74" s="13" t="s">
        <v>13</v>
      </c>
      <c r="B74" s="69"/>
      <c r="C74" s="14">
        <f t="shared" ref="C74" si="145">(C73/B73)-1</f>
        <v>0.19078800915209859</v>
      </c>
      <c r="D74" s="14">
        <f t="shared" ref="D74" si="146">(D73/C73)-1</f>
        <v>8.8011316550927088E-2</v>
      </c>
      <c r="E74" s="14">
        <f t="shared" ref="E74" si="147">(E73/D73)-1</f>
        <v>0.11552224304083536</v>
      </c>
      <c r="F74" s="14">
        <f t="shared" ref="F74" si="148">(F73/E73)-1</f>
        <v>-1.4321006745743325E-3</v>
      </c>
      <c r="G74" s="14">
        <f>(G73/F73)-1</f>
        <v>-7.8409608928282637E-3</v>
      </c>
      <c r="H74" s="14">
        <f>(H73/G73)-1</f>
        <v>0.16721691558195184</v>
      </c>
      <c r="I74" s="14">
        <v>5.4300000000000001E-2</v>
      </c>
      <c r="J74" s="14">
        <v>6.1199999999999997E-2</v>
      </c>
      <c r="K74" s="14">
        <v>5.8700000000000002E-2</v>
      </c>
      <c r="L74" s="14">
        <v>4.9799999999999997E-2</v>
      </c>
      <c r="M74" s="14">
        <v>4.65E-2</v>
      </c>
    </row>
    <row r="75" spans="1:18" s="12" customFormat="1" ht="12" x14ac:dyDescent="0.15">
      <c r="A75" s="10" t="s">
        <v>38</v>
      </c>
      <c r="B75" s="6">
        <v>862.8</v>
      </c>
      <c r="C75" s="6">
        <v>536.29999999999995</v>
      </c>
      <c r="D75" s="6">
        <v>930.4</v>
      </c>
      <c r="E75" s="6">
        <v>1262.3</v>
      </c>
      <c r="F75" s="6">
        <v>1406.9</v>
      </c>
      <c r="G75" s="6">
        <v>1468.4</v>
      </c>
      <c r="H75" s="6">
        <v>1720.9</v>
      </c>
      <c r="I75" s="11">
        <f>I65*I79</f>
        <v>1722.2998791504922</v>
      </c>
      <c r="J75" s="11">
        <f>J65*J79</f>
        <v>1844.0416533337675</v>
      </c>
      <c r="K75" s="11">
        <f>K65*K79</f>
        <v>2009.6059107445749</v>
      </c>
      <c r="L75" s="11">
        <f>L65*L79</f>
        <v>2216.3295036144455</v>
      </c>
      <c r="M75" s="11">
        <f>M65*M79</f>
        <v>2437.5389181288642</v>
      </c>
      <c r="O75" s="29">
        <f>(H75/B75)^(1/6)-1</f>
        <v>0.12195192924887688</v>
      </c>
      <c r="P75" s="29">
        <f>(H75/E75)^(1/3)-1</f>
        <v>0.10882842543236482</v>
      </c>
      <c r="Q75" s="29">
        <f>(M75/H75)^(1/5)-1</f>
        <v>7.2109599837632654E-2</v>
      </c>
      <c r="R75" s="29">
        <f>(M75/I75)^(1/4)-1</f>
        <v>9.0713520856905649E-2</v>
      </c>
    </row>
    <row r="76" spans="1:18" s="16" customFormat="1" ht="12" x14ac:dyDescent="0.15">
      <c r="A76" s="13" t="s">
        <v>13</v>
      </c>
      <c r="B76" s="14"/>
      <c r="C76" s="14">
        <f t="shared" ref="C76:F76" si="149">(C75/B75)-1</f>
        <v>-0.37841910060268891</v>
      </c>
      <c r="D76" s="14">
        <f t="shared" si="149"/>
        <v>0.73484989744545981</v>
      </c>
      <c r="E76" s="14">
        <f t="shared" si="149"/>
        <v>0.35672828890799657</v>
      </c>
      <c r="F76" s="14">
        <f t="shared" si="149"/>
        <v>0.11455280044363469</v>
      </c>
      <c r="G76" s="14">
        <f>(G75/F75)-1</f>
        <v>4.3713128154097669E-2</v>
      </c>
      <c r="H76" s="14">
        <f>(H75/G75)-1</f>
        <v>0.17195587033505855</v>
      </c>
      <c r="I76" s="14">
        <f t="shared" ref="I76:M76" si="150">(I75/H75)-1</f>
        <v>8.134575806217903E-4</v>
      </c>
      <c r="J76" s="14">
        <f t="shared" si="150"/>
        <v>7.0685584814256242E-2</v>
      </c>
      <c r="K76" s="14">
        <f t="shared" si="150"/>
        <v>8.9783360973159532E-2</v>
      </c>
      <c r="L76" s="14">
        <f t="shared" si="150"/>
        <v>0.10286772733131433</v>
      </c>
      <c r="M76" s="14">
        <f t="shared" si="150"/>
        <v>9.9808902130150257E-2</v>
      </c>
    </row>
    <row r="77" spans="1:18" s="72" customFormat="1" ht="12" x14ac:dyDescent="0.15">
      <c r="A77" s="13" t="s">
        <v>35</v>
      </c>
      <c r="B77" s="14">
        <f>B75/B111</f>
        <v>8.1799823658238291E-2</v>
      </c>
      <c r="C77" s="14">
        <f t="shared" ref="C77:H77" si="151">C75/C111</f>
        <v>7.4221182722781165E-2</v>
      </c>
      <c r="D77" s="14">
        <f t="shared" si="151"/>
        <v>7.7636849132176236E-2</v>
      </c>
      <c r="E77" s="14">
        <f t="shared" si="151"/>
        <v>7.281085789106348E-2</v>
      </c>
      <c r="F77" s="14">
        <f t="shared" si="151"/>
        <v>7.3019712052482422E-2</v>
      </c>
      <c r="G77" s="14">
        <f t="shared" si="151"/>
        <v>7.6838546953982692E-2</v>
      </c>
      <c r="H77" s="14">
        <f t="shared" si="151"/>
        <v>7.5405641072829169E-2</v>
      </c>
      <c r="I77" s="14">
        <f t="shared" ref="I77:M77" si="152">I75/I111</f>
        <v>7.426873955730276E-2</v>
      </c>
      <c r="J77" s="14">
        <f t="shared" si="152"/>
        <v>7.3444614012487267E-2</v>
      </c>
      <c r="K77" s="14">
        <f t="shared" si="152"/>
        <v>7.2091595227397887E-2</v>
      </c>
      <c r="L77" s="14">
        <f t="shared" si="152"/>
        <v>7.1687910965853391E-2</v>
      </c>
      <c r="M77" s="14">
        <f t="shared" si="152"/>
        <v>7.1082116322556177E-2</v>
      </c>
    </row>
    <row r="78" spans="1:18" s="72" customFormat="1" ht="24" x14ac:dyDescent="0.15">
      <c r="A78" s="13" t="s">
        <v>36</v>
      </c>
      <c r="B78" s="14">
        <f t="shared" ref="B78:M78" si="153">B75/B203</f>
        <v>6.025476283591262E-2</v>
      </c>
      <c r="C78" s="14">
        <f t="shared" si="153"/>
        <v>5.5438973712230055E-2</v>
      </c>
      <c r="D78" s="14">
        <f t="shared" si="153"/>
        <v>5.9464157889354739E-2</v>
      </c>
      <c r="E78" s="14">
        <f t="shared" si="153"/>
        <v>5.6017822037019785E-2</v>
      </c>
      <c r="F78" s="14">
        <f t="shared" si="153"/>
        <v>5.5318329086848465E-2</v>
      </c>
      <c r="G78" s="14">
        <f t="shared" si="153"/>
        <v>5.4828074184430531E-2</v>
      </c>
      <c r="H78" s="14">
        <f t="shared" si="153"/>
        <v>5.2908279812212348E-2</v>
      </c>
      <c r="I78" s="14">
        <f t="shared" si="153"/>
        <v>4.9040667291740087E-2</v>
      </c>
      <c r="J78" s="14">
        <f t="shared" si="153"/>
        <v>4.7364380039901142E-2</v>
      </c>
      <c r="K78" s="14">
        <f t="shared" si="153"/>
        <v>4.7006439065746065E-2</v>
      </c>
      <c r="L78" s="14">
        <f t="shared" si="153"/>
        <v>4.7128911573731121E-2</v>
      </c>
      <c r="M78" s="14">
        <f t="shared" si="153"/>
        <v>4.7120801147302056E-2</v>
      </c>
    </row>
    <row r="79" spans="1:18" s="31" customFormat="1" ht="12" x14ac:dyDescent="0.15">
      <c r="A79" s="25" t="s">
        <v>37</v>
      </c>
      <c r="B79" s="17">
        <f t="shared" ref="B79:H79" si="154">B75/B65</f>
        <v>16.935944520452487</v>
      </c>
      <c r="C79" s="17">
        <f t="shared" si="154"/>
        <v>18.158246596640772</v>
      </c>
      <c r="D79" s="17">
        <f t="shared" si="154"/>
        <v>20.37098667040339</v>
      </c>
      <c r="E79" s="17">
        <f t="shared" si="154"/>
        <v>21.295619914601577</v>
      </c>
      <c r="F79" s="17">
        <f t="shared" si="154"/>
        <v>21.314050851334915</v>
      </c>
      <c r="G79" s="17">
        <f t="shared" si="154"/>
        <v>22.615263300559374</v>
      </c>
      <c r="H79" s="17">
        <f t="shared" si="154"/>
        <v>25.87628881480914</v>
      </c>
      <c r="I79" s="70">
        <f>H79*(1+I80)</f>
        <v>26.763845521157094</v>
      </c>
      <c r="J79" s="70">
        <f t="shared" ref="J79" si="155">I79*(1+J80)</f>
        <v>27.96821856960916</v>
      </c>
      <c r="K79" s="70">
        <f t="shared" ref="K79" si="156">J79*(1+K80)</f>
        <v>28.919138000975874</v>
      </c>
      <c r="L79" s="70">
        <f t="shared" ref="L79" si="157">K79*(1+L80)</f>
        <v>30.110606486616078</v>
      </c>
      <c r="M79" s="70">
        <f t="shared" ref="M79" si="158">L79*(1+M80)</f>
        <v>31.17652195624229</v>
      </c>
      <c r="O79" s="72">
        <f>(H79/B79)^(1/6)-1</f>
        <v>7.3203535163333111E-2</v>
      </c>
      <c r="P79" s="72">
        <f>(H79/E79)^(1/3)-1</f>
        <v>6.7097004987096476E-2</v>
      </c>
      <c r="Q79" s="72">
        <f>(M79/H79)^(1/5)-1</f>
        <v>3.7970796656588313E-2</v>
      </c>
      <c r="R79" s="72">
        <f>(M79/I79)^(1/4)-1</f>
        <v>3.8890529625442927E-2</v>
      </c>
    </row>
    <row r="80" spans="1:18" s="18" customFormat="1" ht="12" x14ac:dyDescent="0.15">
      <c r="A80" s="13" t="s">
        <v>13</v>
      </c>
      <c r="B80" s="69"/>
      <c r="C80" s="14">
        <f t="shared" ref="C80" si="159">(C79/B79)-1</f>
        <v>7.2172064257307156E-2</v>
      </c>
      <c r="D80" s="14">
        <f t="shared" ref="D80" si="160">(D79/C79)-1</f>
        <v>0.12185868618900519</v>
      </c>
      <c r="E80" s="14">
        <f t="shared" ref="E80" si="161">(E79/D79)-1</f>
        <v>4.5389713279895716E-2</v>
      </c>
      <c r="F80" s="14">
        <f t="shared" ref="F80" si="162">(F79/E79)-1</f>
        <v>8.6548016950205309E-4</v>
      </c>
      <c r="G80" s="14">
        <f>(G79/F79)-1</f>
        <v>6.1049514158542095E-2</v>
      </c>
      <c r="H80" s="14">
        <f>(H79/G79)-1</f>
        <v>0.14419577923592453</v>
      </c>
      <c r="I80" s="14">
        <v>3.4299999999999997E-2</v>
      </c>
      <c r="J80" s="14">
        <v>4.4999999999999998E-2</v>
      </c>
      <c r="K80" s="14">
        <v>3.4000000000000002E-2</v>
      </c>
      <c r="L80" s="14">
        <v>4.1200000000000001E-2</v>
      </c>
      <c r="M80" s="14">
        <v>3.5400000000000001E-2</v>
      </c>
    </row>
    <row r="81" spans="1:18" s="12" customFormat="1" ht="12" x14ac:dyDescent="0.15">
      <c r="A81" s="10" t="s">
        <v>39</v>
      </c>
      <c r="B81" s="6">
        <v>174.4</v>
      </c>
      <c r="C81" s="6">
        <v>140.6</v>
      </c>
      <c r="D81" s="6">
        <v>225.4</v>
      </c>
      <c r="E81" s="6">
        <v>277.8</v>
      </c>
      <c r="F81" s="6">
        <v>305</v>
      </c>
      <c r="G81" s="6">
        <v>354.7</v>
      </c>
      <c r="H81" s="6">
        <v>412.2</v>
      </c>
      <c r="I81" s="11">
        <f>I85*I65</f>
        <v>411.69771256603173</v>
      </c>
      <c r="J81" s="11">
        <f>J85*J65</f>
        <v>440.03953547458076</v>
      </c>
      <c r="K81" s="11">
        <f>K85*K65</f>
        <v>478.62020539297311</v>
      </c>
      <c r="L81" s="11">
        <f>L85*L65</f>
        <v>525.01575900853061</v>
      </c>
      <c r="M81" s="11">
        <f>M85*M65</f>
        <v>577.36123798620952</v>
      </c>
    </row>
    <row r="82" spans="1:18" s="16" customFormat="1" ht="12" x14ac:dyDescent="0.15">
      <c r="A82" s="13" t="s">
        <v>13</v>
      </c>
      <c r="B82" s="14"/>
      <c r="C82" s="14">
        <f t="shared" ref="C82:F82" si="163">(C81/B81)-1</f>
        <v>-0.19380733944954132</v>
      </c>
      <c r="D82" s="14">
        <f t="shared" si="163"/>
        <v>0.60312944523470846</v>
      </c>
      <c r="E82" s="14">
        <f t="shared" si="163"/>
        <v>0.23247559893522629</v>
      </c>
      <c r="F82" s="14">
        <f t="shared" si="163"/>
        <v>9.7912167026637853E-2</v>
      </c>
      <c r="G82" s="14">
        <f>(G81/F81)-1</f>
        <v>0.16295081967213121</v>
      </c>
      <c r="H82" s="14">
        <f>(H81/G81)-1</f>
        <v>0.16210882435861285</v>
      </c>
      <c r="I82" s="14">
        <f t="shared" ref="I82:M82" si="164">(I81/H81)-1</f>
        <v>-1.2185527267546403E-3</v>
      </c>
      <c r="J82" s="14">
        <f t="shared" si="164"/>
        <v>6.8841341701657566E-2</v>
      </c>
      <c r="K82" s="14">
        <f t="shared" si="164"/>
        <v>8.7675462789458702E-2</v>
      </c>
      <c r="L82" s="14">
        <f t="shared" si="164"/>
        <v>9.693605303909858E-2</v>
      </c>
      <c r="M82" s="14">
        <f t="shared" si="164"/>
        <v>9.9702681451945496E-2</v>
      </c>
    </row>
    <row r="83" spans="1:18" s="16" customFormat="1" ht="12" x14ac:dyDescent="0.15">
      <c r="A83" s="13" t="s">
        <v>35</v>
      </c>
      <c r="B83" s="14">
        <f>B81/B111</f>
        <v>1.6534410345383357E-2</v>
      </c>
      <c r="C83" s="14">
        <f t="shared" ref="C83:H83" si="165">C81/C111</f>
        <v>1.9458322377070729E-2</v>
      </c>
      <c r="D83" s="14">
        <f t="shared" si="165"/>
        <v>1.8808411214953271E-2</v>
      </c>
      <c r="E83" s="14">
        <f t="shared" si="165"/>
        <v>1.6023810759833189E-2</v>
      </c>
      <c r="F83" s="14">
        <f t="shared" si="165"/>
        <v>1.5829847306849908E-2</v>
      </c>
      <c r="G83" s="14">
        <f t="shared" si="165"/>
        <v>1.8560768594781844E-2</v>
      </c>
      <c r="H83" s="14">
        <f t="shared" si="165"/>
        <v>1.8061598727538021E-2</v>
      </c>
      <c r="I83" s="14">
        <f t="shared" ref="I83:M83" si="166">I81/I111</f>
        <v>1.7753162826664861E-2</v>
      </c>
      <c r="J83" s="14">
        <f t="shared" si="166"/>
        <v>1.7525923980479197E-2</v>
      </c>
      <c r="K83" s="14">
        <f t="shared" si="166"/>
        <v>1.716978136377996E-2</v>
      </c>
      <c r="L83" s="14">
        <f t="shared" si="166"/>
        <v>1.6981808402628609E-2</v>
      </c>
      <c r="M83" s="14">
        <f t="shared" si="166"/>
        <v>1.6836678328883668E-2</v>
      </c>
    </row>
    <row r="84" spans="1:18" s="16" customFormat="1" ht="24" x14ac:dyDescent="0.15">
      <c r="A84" s="13" t="s">
        <v>36</v>
      </c>
      <c r="B84" s="14">
        <f t="shared" ref="B84:M84" si="167">B81/B203</f>
        <v>1.2179451365998102E-2</v>
      </c>
      <c r="C84" s="14">
        <f t="shared" si="167"/>
        <v>1.4534252664440698E-2</v>
      </c>
      <c r="D84" s="14">
        <f t="shared" si="167"/>
        <v>1.4405869720830352E-2</v>
      </c>
      <c r="E84" s="14">
        <f t="shared" si="167"/>
        <v>1.2328092340873086E-2</v>
      </c>
      <c r="F84" s="14">
        <f t="shared" si="167"/>
        <v>1.1992387782705794E-2</v>
      </c>
      <c r="G84" s="14">
        <f t="shared" si="167"/>
        <v>1.3244019281679044E-2</v>
      </c>
      <c r="H84" s="14">
        <f t="shared" si="167"/>
        <v>1.267289960985178E-2</v>
      </c>
      <c r="I84" s="14">
        <f t="shared" si="167"/>
        <v>1.1722656891016967E-2</v>
      </c>
      <c r="J84" s="14">
        <f t="shared" si="167"/>
        <v>1.1302456076911193E-2</v>
      </c>
      <c r="K84" s="14">
        <f t="shared" si="167"/>
        <v>1.1195345017722349E-2</v>
      </c>
      <c r="L84" s="14">
        <f t="shared" si="167"/>
        <v>1.1164143797560868E-2</v>
      </c>
      <c r="M84" s="14">
        <f t="shared" si="167"/>
        <v>1.1161144498235267E-2</v>
      </c>
    </row>
    <row r="85" spans="1:18" s="31" customFormat="1" ht="12" x14ac:dyDescent="0.15">
      <c r="A85" s="25" t="s">
        <v>37</v>
      </c>
      <c r="B85" s="17">
        <f t="shared" ref="B85:H85" si="168">B81/B65</f>
        <v>3.4233063564753294</v>
      </c>
      <c r="C85" s="17">
        <f t="shared" si="168"/>
        <v>4.7604875470589088</v>
      </c>
      <c r="D85" s="17">
        <f t="shared" si="168"/>
        <v>4.9351036065229197</v>
      </c>
      <c r="E85" s="17">
        <f t="shared" si="168"/>
        <v>4.6866222073012107</v>
      </c>
      <c r="F85" s="17">
        <f t="shared" si="168"/>
        <v>4.6206450420478697</v>
      </c>
      <c r="G85" s="17">
        <f t="shared" si="168"/>
        <v>5.4628397525935775</v>
      </c>
      <c r="H85" s="17">
        <f t="shared" si="168"/>
        <v>6.1980395429509709</v>
      </c>
      <c r="I85" s="70">
        <f>H85*(1+I86)</f>
        <v>6.3976164162339924</v>
      </c>
      <c r="J85" s="70">
        <f t="shared" ref="J85" si="169">I85*(1+J86)</f>
        <v>6.6739934454153005</v>
      </c>
      <c r="K85" s="70">
        <f t="shared" ref="K85" si="170">J85*(1+K86)</f>
        <v>6.8875612356685902</v>
      </c>
      <c r="L85" s="70">
        <f t="shared" ref="L85" si="171">K85*(1+L86)</f>
        <v>7.132758415658393</v>
      </c>
      <c r="M85" s="70">
        <f t="shared" ref="M85" si="172">L85*(1+M86)</f>
        <v>7.3845447877311337</v>
      </c>
      <c r="O85" s="72">
        <f>(H85/B85)^(1/6)-1</f>
        <v>0.10399751549080194</v>
      </c>
      <c r="P85" s="72">
        <f>(H85/E85)^(1/3)-1</f>
        <v>9.7652317989300741E-2</v>
      </c>
      <c r="Q85" s="72">
        <f>(M85/H85)^(1/5)-1</f>
        <v>3.5652069245331264E-2</v>
      </c>
      <c r="R85" s="72">
        <f>(M85/I85)^(1/4)-1</f>
        <v>3.6516888961882321E-2</v>
      </c>
    </row>
    <row r="86" spans="1:18" s="18" customFormat="1" ht="12" x14ac:dyDescent="0.15">
      <c r="A86" s="13" t="s">
        <v>13</v>
      </c>
      <c r="B86" s="69"/>
      <c r="C86" s="14">
        <f t="shared" ref="C86" si="173">(C85/B85)-1</f>
        <v>0.39061102084954924</v>
      </c>
      <c r="D86" s="14">
        <f t="shared" ref="D86" si="174">(D85/C85)-1</f>
        <v>3.6680289095996299E-2</v>
      </c>
      <c r="E86" s="14">
        <f t="shared" ref="E86" si="175">(E85/D85)-1</f>
        <v>-5.0349783719490948E-2</v>
      </c>
      <c r="F86" s="14">
        <f t="shared" ref="F86" si="176">(F85/E85)-1</f>
        <v>-1.4077764824004024E-2</v>
      </c>
      <c r="G86" s="14">
        <f>(G85/F85)-1</f>
        <v>0.18226777925630211</v>
      </c>
      <c r="H86" s="14">
        <f>(H85/G85)-1</f>
        <v>0.13458198000560873</v>
      </c>
      <c r="I86" s="14">
        <v>3.2199999999999999E-2</v>
      </c>
      <c r="J86" s="14">
        <v>4.3200000000000002E-2</v>
      </c>
      <c r="K86" s="14">
        <v>3.2000000000000001E-2</v>
      </c>
      <c r="L86" s="14">
        <v>3.56E-2</v>
      </c>
      <c r="M86" s="14">
        <v>3.5299999999999998E-2</v>
      </c>
    </row>
    <row r="87" spans="1:18" s="12" customFormat="1" ht="12" x14ac:dyDescent="0.15">
      <c r="A87" s="10" t="s">
        <v>40</v>
      </c>
      <c r="B87" s="6">
        <v>263.39999999999998</v>
      </c>
      <c r="C87" s="6">
        <v>193.1</v>
      </c>
      <c r="D87" s="6">
        <v>303.10000000000002</v>
      </c>
      <c r="E87" s="6">
        <v>517.4</v>
      </c>
      <c r="F87" s="6">
        <v>569.6</v>
      </c>
      <c r="G87" s="6">
        <v>613.79999999999995</v>
      </c>
      <c r="H87" s="6">
        <v>682.5</v>
      </c>
      <c r="I87" s="11">
        <f>I91*I65</f>
        <v>675.85678828489381</v>
      </c>
      <c r="J87" s="11">
        <f>J91*J65</f>
        <v>712.27362877043049</v>
      </c>
      <c r="K87" s="11">
        <f>K91*K65</f>
        <v>776.59929916608382</v>
      </c>
      <c r="L87" s="11">
        <f>L91*L65</f>
        <v>851.30395325789698</v>
      </c>
      <c r="M87" s="11">
        <f>M91*M65</f>
        <v>939.07487479309623</v>
      </c>
    </row>
    <row r="88" spans="1:18" s="16" customFormat="1" ht="12" x14ac:dyDescent="0.15">
      <c r="A88" s="13" t="s">
        <v>13</v>
      </c>
      <c r="B88" s="14"/>
      <c r="C88" s="14">
        <f t="shared" ref="C88:F88" si="177">(C87/B87)-1</f>
        <v>-0.26689445709946846</v>
      </c>
      <c r="D88" s="14">
        <f t="shared" si="177"/>
        <v>0.56965302951838437</v>
      </c>
      <c r="E88" s="14">
        <f t="shared" si="177"/>
        <v>0.70702738370174845</v>
      </c>
      <c r="F88" s="14">
        <f t="shared" si="177"/>
        <v>0.1008890606880557</v>
      </c>
      <c r="G88" s="14">
        <f>(G87/F87)-1</f>
        <v>7.7598314606741381E-2</v>
      </c>
      <c r="H88" s="14">
        <f>(H87/G87)-1</f>
        <v>0.11192570869990237</v>
      </c>
      <c r="I88" s="14">
        <f t="shared" ref="I88:M88" si="178">(I87/H87)-1</f>
        <v>-9.7336435386171649E-3</v>
      </c>
      <c r="J88" s="14">
        <f t="shared" si="178"/>
        <v>5.3882480899468232E-2</v>
      </c>
      <c r="K88" s="14">
        <f t="shared" si="178"/>
        <v>9.0310335519084406E-2</v>
      </c>
      <c r="L88" s="14">
        <f t="shared" si="178"/>
        <v>9.6194593752571445E-2</v>
      </c>
      <c r="M88" s="14">
        <f t="shared" si="178"/>
        <v>0.10310174315449183</v>
      </c>
    </row>
    <row r="89" spans="1:18" s="16" customFormat="1" ht="12" x14ac:dyDescent="0.15">
      <c r="A89" s="13" t="s">
        <v>35</v>
      </c>
      <c r="B89" s="14">
        <f>B87/B111</f>
        <v>2.497226883585995E-2</v>
      </c>
      <c r="C89" s="14">
        <f t="shared" ref="C89:H89" si="179">C87/C111</f>
        <v>2.6724054416873099E-2</v>
      </c>
      <c r="D89" s="14">
        <f t="shared" si="179"/>
        <v>2.5292056074766357E-2</v>
      </c>
      <c r="E89" s="14">
        <f t="shared" si="179"/>
        <v>2.9844203337428696E-2</v>
      </c>
      <c r="F89" s="14">
        <f t="shared" si="179"/>
        <v>2.9562888609776093E-2</v>
      </c>
      <c r="G89" s="14">
        <f t="shared" si="179"/>
        <v>3.2118973113834492E-2</v>
      </c>
      <c r="H89" s="14">
        <f t="shared" si="179"/>
        <v>2.9905485520486899E-2</v>
      </c>
      <c r="I89" s="14">
        <f t="shared" ref="I89:M89" si="180">I87/I111</f>
        <v>2.9144188183955574E-2</v>
      </c>
      <c r="J89" s="14">
        <f t="shared" si="180"/>
        <v>2.8368481613061176E-2</v>
      </c>
      <c r="K89" s="14">
        <f t="shared" si="180"/>
        <v>2.7859334026649449E-2</v>
      </c>
      <c r="L89" s="14">
        <f t="shared" si="180"/>
        <v>2.7535707983178861E-2</v>
      </c>
      <c r="M89" s="14">
        <f t="shared" si="180"/>
        <v>2.7384764603829735E-2</v>
      </c>
    </row>
    <row r="90" spans="1:18" s="16" customFormat="1" ht="24" x14ac:dyDescent="0.15">
      <c r="A90" s="13" t="s">
        <v>36</v>
      </c>
      <c r="B90" s="14">
        <f t="shared" ref="B90:M90" si="181">B87/B203</f>
        <v>1.8394882395664561E-2</v>
      </c>
      <c r="C90" s="14">
        <f t="shared" si="181"/>
        <v>1.9961338474420335E-2</v>
      </c>
      <c r="D90" s="14">
        <f t="shared" si="181"/>
        <v>1.9371868289191126E-2</v>
      </c>
      <c r="E90" s="14">
        <f t="shared" si="181"/>
        <v>2.2960961040920571E-2</v>
      </c>
      <c r="F90" s="14">
        <f t="shared" si="181"/>
        <v>2.2396275675505641E-2</v>
      </c>
      <c r="G90" s="14">
        <f t="shared" si="181"/>
        <v>2.29184635892151E-2</v>
      </c>
      <c r="H90" s="14">
        <f t="shared" si="181"/>
        <v>2.0983148917331003E-2</v>
      </c>
      <c r="I90" s="14">
        <f t="shared" si="181"/>
        <v>1.9244307157178508E-2</v>
      </c>
      <c r="J90" s="14">
        <f t="shared" si="181"/>
        <v>1.8294813885842264E-2</v>
      </c>
      <c r="K90" s="14">
        <f t="shared" si="181"/>
        <v>1.8165336516763213E-2</v>
      </c>
      <c r="L90" s="14">
        <f t="shared" si="181"/>
        <v>1.8102465662271239E-2</v>
      </c>
      <c r="M90" s="14">
        <f t="shared" si="181"/>
        <v>1.8153540076201451E-2</v>
      </c>
    </row>
    <row r="91" spans="1:18" s="31" customFormat="1" ht="12" x14ac:dyDescent="0.15">
      <c r="A91" s="25" t="s">
        <v>37</v>
      </c>
      <c r="B91" s="17">
        <f t="shared" ref="B91:H91" si="182">B87/B65</f>
        <v>5.1702918250894596</v>
      </c>
      <c r="C91" s="17">
        <f t="shared" si="182"/>
        <v>6.5380522427956995</v>
      </c>
      <c r="D91" s="17">
        <f t="shared" si="182"/>
        <v>6.6363349739888955</v>
      </c>
      <c r="E91" s="17">
        <f t="shared" si="182"/>
        <v>8.7287916848727374</v>
      </c>
      <c r="F91" s="17">
        <f t="shared" si="182"/>
        <v>8.6292439867228428</v>
      </c>
      <c r="G91" s="17">
        <f t="shared" si="182"/>
        <v>9.4533155910401394</v>
      </c>
      <c r="H91" s="17">
        <f t="shared" si="182"/>
        <v>10.262401717768165</v>
      </c>
      <c r="I91" s="70">
        <f>H91*(1+I92)</f>
        <v>10.502541917963942</v>
      </c>
      <c r="J91" s="70">
        <f t="shared" ref="J91" si="183">I91*(1+J92)</f>
        <v>10.802914616817711</v>
      </c>
      <c r="K91" s="70">
        <f t="shared" ref="K91" si="184">J91*(1+K92)</f>
        <v>11.175615171097922</v>
      </c>
      <c r="L91" s="70">
        <f t="shared" ref="L91" si="185">K91*(1+L92)</f>
        <v>11.565644140569239</v>
      </c>
      <c r="M91" s="70">
        <f t="shared" ref="M91" si="186">L91*(1+M92)</f>
        <v>12.010921439981153</v>
      </c>
      <c r="O91" s="72">
        <f>(H91/B91)^(1/6)-1</f>
        <v>0.1210431407542234</v>
      </c>
      <c r="P91" s="72">
        <f>(H91/E91)^(1/3)-1</f>
        <v>5.5435328763479674E-2</v>
      </c>
      <c r="Q91" s="72">
        <f>(M91/H91)^(1/5)-1</f>
        <v>3.1966176275481928E-2</v>
      </c>
      <c r="R91" s="72">
        <f>(M91/I91)^(1/4)-1</f>
        <v>3.4118900354561665E-2</v>
      </c>
    </row>
    <row r="92" spans="1:18" s="18" customFormat="1" ht="12" x14ac:dyDescent="0.15">
      <c r="A92" s="13" t="s">
        <v>13</v>
      </c>
      <c r="B92" s="69"/>
      <c r="C92" s="14">
        <f t="shared" ref="C92" si="187">(C91/B91)-1</f>
        <v>0.2645422084434419</v>
      </c>
      <c r="D92" s="14">
        <f t="shared" ref="D92" si="188">(D91/C91)-1</f>
        <v>1.5032417537117926E-2</v>
      </c>
      <c r="E92" s="14">
        <f t="shared" ref="E92" si="189">(E91/D91)-1</f>
        <v>0.31530305795069458</v>
      </c>
      <c r="F92" s="14">
        <f t="shared" ref="F92" si="190">(F91/E91)-1</f>
        <v>-1.1404522154242036E-2</v>
      </c>
      <c r="G92" s="14">
        <f>(G91/F91)-1</f>
        <v>9.5497543653329631E-2</v>
      </c>
      <c r="H92" s="14">
        <f>(H91/G91)-1</f>
        <v>8.5587550625610964E-2</v>
      </c>
      <c r="I92" s="14">
        <v>2.3400000000000001E-2</v>
      </c>
      <c r="J92" s="14">
        <v>2.86E-2</v>
      </c>
      <c r="K92" s="14">
        <v>3.4500000000000003E-2</v>
      </c>
      <c r="L92" s="14">
        <v>3.49E-2</v>
      </c>
      <c r="M92" s="14">
        <v>3.85E-2</v>
      </c>
    </row>
    <row r="93" spans="1:18" s="12" customFormat="1" ht="12" x14ac:dyDescent="0.15">
      <c r="A93" s="10" t="s">
        <v>41</v>
      </c>
      <c r="B93" s="6">
        <v>38.700000000000003</v>
      </c>
      <c r="C93" s="6">
        <v>19.7</v>
      </c>
      <c r="D93" s="6">
        <v>27.3</v>
      </c>
      <c r="E93" s="6">
        <v>36.6</v>
      </c>
      <c r="F93" s="6">
        <v>38.4</v>
      </c>
      <c r="G93" s="6">
        <v>38.5</v>
      </c>
      <c r="H93" s="6">
        <v>228.5</v>
      </c>
      <c r="I93" s="11">
        <f>I97*I65</f>
        <v>233.57223089084073</v>
      </c>
      <c r="J93" s="11">
        <f>J97*J65</f>
        <v>244.88932155823588</v>
      </c>
      <c r="K93" s="11">
        <f>K97*K65</f>
        <v>260.81093727975804</v>
      </c>
      <c r="L93" s="11">
        <f>L97*L65</f>
        <v>284.49062297115915</v>
      </c>
      <c r="M93" s="11">
        <f>M97*M65</f>
        <v>311.28372400974661</v>
      </c>
    </row>
    <row r="94" spans="1:18" s="16" customFormat="1" ht="12" x14ac:dyDescent="0.15">
      <c r="A94" s="13" t="s">
        <v>13</v>
      </c>
      <c r="B94" s="14"/>
      <c r="C94" s="14">
        <f t="shared" ref="C94:F94" si="191">(C93/B93)-1</f>
        <v>-0.49095607235142125</v>
      </c>
      <c r="D94" s="14">
        <f t="shared" si="191"/>
        <v>0.3857868020304569</v>
      </c>
      <c r="E94" s="14">
        <f t="shared" si="191"/>
        <v>0.34065934065934078</v>
      </c>
      <c r="F94" s="14">
        <f t="shared" si="191"/>
        <v>4.9180327868852292E-2</v>
      </c>
      <c r="G94" s="14">
        <f>(G93/F93)-1</f>
        <v>2.6041666666667407E-3</v>
      </c>
      <c r="H94" s="14">
        <f>(H93/G93)-1</f>
        <v>4.9350649350649354</v>
      </c>
      <c r="I94" s="14">
        <f t="shared" ref="I94:M94" si="192">(I93/H93)-1</f>
        <v>2.2197947005867524E-2</v>
      </c>
      <c r="J94" s="14">
        <f t="shared" si="192"/>
        <v>4.8452209512372058E-2</v>
      </c>
      <c r="K94" s="14">
        <f t="shared" si="192"/>
        <v>6.501555731467823E-2</v>
      </c>
      <c r="L94" s="14">
        <f t="shared" si="192"/>
        <v>9.0792533236446316E-2</v>
      </c>
      <c r="M94" s="14">
        <f t="shared" si="192"/>
        <v>9.4179206185307729E-2</v>
      </c>
    </row>
    <row r="95" spans="1:18" s="16" customFormat="1" ht="12" x14ac:dyDescent="0.15">
      <c r="A95" s="13" t="s">
        <v>35</v>
      </c>
      <c r="B95" s="14">
        <f>B93/B111</f>
        <v>3.6690463323757793E-3</v>
      </c>
      <c r="C95" s="14">
        <f t="shared" ref="C95:H95" si="193">C93/C111</f>
        <v>2.7263794511258417E-3</v>
      </c>
      <c r="D95" s="14">
        <f t="shared" si="193"/>
        <v>2.2780373831775701E-3</v>
      </c>
      <c r="E95" s="14">
        <f t="shared" si="193"/>
        <v>2.1111284154423857E-3</v>
      </c>
      <c r="F95" s="14">
        <f t="shared" si="193"/>
        <v>1.9930037265017591E-3</v>
      </c>
      <c r="G95" s="14">
        <f t="shared" si="193"/>
        <v>2.0146309300792245E-3</v>
      </c>
      <c r="H95" s="14">
        <f t="shared" si="193"/>
        <v>1.0012312734697812E-2</v>
      </c>
      <c r="I95" s="14">
        <f t="shared" ref="I95:M95" si="194">I93/I111</f>
        <v>1.0072064333190533E-2</v>
      </c>
      <c r="J95" s="14">
        <f t="shared" si="194"/>
        <v>9.7534682392389094E-3</v>
      </c>
      <c r="K95" s="14">
        <f t="shared" si="194"/>
        <v>9.3562008455101431E-3</v>
      </c>
      <c r="L95" s="14">
        <f t="shared" si="194"/>
        <v>9.2019433107381823E-3</v>
      </c>
      <c r="M95" s="14">
        <f t="shared" si="194"/>
        <v>9.0774779901214766E-3</v>
      </c>
    </row>
    <row r="96" spans="1:18" s="16" customFormat="1" ht="24" x14ac:dyDescent="0.15">
      <c r="A96" s="13" t="s">
        <v>36</v>
      </c>
      <c r="B96" s="14">
        <f t="shared" ref="B96:M96" si="195">B93/B203</f>
        <v>2.7026649533493496E-3</v>
      </c>
      <c r="C96" s="14">
        <f t="shared" si="195"/>
        <v>2.0364493420304535E-3</v>
      </c>
      <c r="D96" s="14">
        <f t="shared" si="195"/>
        <v>1.7448103078024338E-3</v>
      </c>
      <c r="E96" s="14">
        <f t="shared" si="195"/>
        <v>1.6242195092726959E-3</v>
      </c>
      <c r="F96" s="14">
        <f t="shared" si="195"/>
        <v>1.5098612814947623E-3</v>
      </c>
      <c r="G96" s="14">
        <f t="shared" si="195"/>
        <v>1.4375380387500513E-3</v>
      </c>
      <c r="H96" s="14">
        <f t="shared" si="195"/>
        <v>7.0251275129818817E-3</v>
      </c>
      <c r="I96" s="14">
        <f t="shared" si="195"/>
        <v>6.6507222129964134E-3</v>
      </c>
      <c r="J96" s="14">
        <f t="shared" si="195"/>
        <v>6.2900048233880323E-3</v>
      </c>
      <c r="K96" s="14">
        <f t="shared" si="195"/>
        <v>6.100595825964064E-3</v>
      </c>
      <c r="L96" s="14">
        <f t="shared" si="195"/>
        <v>6.0495216941784929E-3</v>
      </c>
      <c r="M96" s="14">
        <f t="shared" si="195"/>
        <v>6.0175197000401212E-3</v>
      </c>
    </row>
    <row r="97" spans="1:18" s="31" customFormat="1" ht="12" x14ac:dyDescent="0.15">
      <c r="A97" s="25" t="s">
        <v>37</v>
      </c>
      <c r="B97" s="17">
        <f t="shared" ref="B97:H97" si="196">B93/B65</f>
        <v>0.75964424309400946</v>
      </c>
      <c r="C97" s="17">
        <f t="shared" si="196"/>
        <v>0.6670099905907575</v>
      </c>
      <c r="D97" s="17">
        <f t="shared" si="196"/>
        <v>0.59772993992047785</v>
      </c>
      <c r="E97" s="17">
        <f t="shared" si="196"/>
        <v>0.61745994523838843</v>
      </c>
      <c r="F97" s="17">
        <f t="shared" si="196"/>
        <v>0.58174678562176463</v>
      </c>
      <c r="G97" s="17">
        <f t="shared" si="196"/>
        <v>0.59294990266380809</v>
      </c>
      <c r="H97" s="17">
        <f t="shared" si="196"/>
        <v>3.4358370586227487</v>
      </c>
      <c r="I97" s="70">
        <f>H97*(1+I98)</f>
        <v>3.6296182687290717</v>
      </c>
      <c r="J97" s="70">
        <f t="shared" ref="J97" si="197">I97*(1+J98)</f>
        <v>3.7141883743904596</v>
      </c>
      <c r="K97" s="70">
        <f t="shared" ref="K97" si="198">J97*(1+K98)</f>
        <v>3.7531873523215591</v>
      </c>
      <c r="L97" s="70">
        <f t="shared" ref="L97" si="199">K97*(1+L98)</f>
        <v>3.8650323354207416</v>
      </c>
      <c r="M97" s="70">
        <f t="shared" ref="M97" si="200">L97*(1+M98)</f>
        <v>3.9813698087169058</v>
      </c>
      <c r="O97" s="72">
        <f>(H97/B97)^(1/6)-1</f>
        <v>0.28598840092629652</v>
      </c>
      <c r="P97" s="72">
        <f>(H97/E97)^(1/3)-1</f>
        <v>0.77204436152531541</v>
      </c>
      <c r="Q97" s="72">
        <f>(M97/H97)^(1/5)-1</f>
        <v>2.9911699978101058E-2</v>
      </c>
      <c r="R97" s="72">
        <f>(M97/I97)^(1/4)-1</f>
        <v>2.3394059424350466E-2</v>
      </c>
    </row>
    <row r="98" spans="1:18" s="18" customFormat="1" ht="12" x14ac:dyDescent="0.15">
      <c r="A98" s="13" t="s">
        <v>13</v>
      </c>
      <c r="B98" s="69"/>
      <c r="C98" s="14">
        <f t="shared" ref="C98" si="201">(C97/B97)-1</f>
        <v>-0.12194425659826669</v>
      </c>
      <c r="D98" s="14">
        <f t="shared" ref="D98" si="202">(D97/C97)-1</f>
        <v>-0.10386658617949585</v>
      </c>
      <c r="E98" s="14">
        <f t="shared" ref="E98" si="203">(E97/D97)-1</f>
        <v>3.3008226625782733E-2</v>
      </c>
      <c r="F98" s="14">
        <f t="shared" ref="F98" si="204">(F97/E97)-1</f>
        <v>-5.7838828076266058E-2</v>
      </c>
      <c r="G98" s="14">
        <f>(G97/F97)-1</f>
        <v>1.925772057351316E-2</v>
      </c>
      <c r="H98" s="14">
        <f>(H97/G97)-1</f>
        <v>4.7944811917286145</v>
      </c>
      <c r="I98" s="14">
        <v>5.6399999999999999E-2</v>
      </c>
      <c r="J98" s="14">
        <v>2.3300000000000001E-2</v>
      </c>
      <c r="K98" s="14">
        <v>1.0500000000000001E-2</v>
      </c>
      <c r="L98" s="14">
        <v>2.98E-2</v>
      </c>
      <c r="M98" s="14">
        <v>3.0099999999999998E-2</v>
      </c>
    </row>
    <row r="99" spans="1:18" s="12" customFormat="1" ht="12" x14ac:dyDescent="0.15">
      <c r="A99" s="10" t="s">
        <v>42</v>
      </c>
      <c r="B99" s="6">
        <v>164.4</v>
      </c>
      <c r="C99" s="6">
        <v>129.1</v>
      </c>
      <c r="D99" s="6">
        <v>175.1</v>
      </c>
      <c r="E99" s="6">
        <v>230.2</v>
      </c>
      <c r="F99" s="6">
        <v>234.4</v>
      </c>
      <c r="G99" s="6">
        <v>259.2</v>
      </c>
      <c r="H99" s="6">
        <v>272.10000000000002</v>
      </c>
      <c r="I99" s="11">
        <f>I103*I65</f>
        <v>262.44794886773911</v>
      </c>
      <c r="J99" s="11">
        <f>J103*J65</f>
        <v>271.53399820650867</v>
      </c>
      <c r="K99" s="11">
        <f>K103*K65</f>
        <v>287.29912455840071</v>
      </c>
      <c r="L99" s="11">
        <f>L103*L65</f>
        <v>308.54512901331833</v>
      </c>
      <c r="M99" s="11">
        <f>M103*M65</f>
        <v>333.86744283003765</v>
      </c>
    </row>
    <row r="100" spans="1:18" s="16" customFormat="1" ht="12" x14ac:dyDescent="0.15">
      <c r="A100" s="13" t="s">
        <v>13</v>
      </c>
      <c r="B100" s="14"/>
      <c r="C100" s="14">
        <f t="shared" ref="C100:F100" si="205">(C99/B99)-1</f>
        <v>-0.21472019464720205</v>
      </c>
      <c r="D100" s="14">
        <f t="shared" si="205"/>
        <v>0.35631293570875289</v>
      </c>
      <c r="E100" s="14">
        <f t="shared" si="205"/>
        <v>0.31467732724157615</v>
      </c>
      <c r="F100" s="14">
        <f t="shared" si="205"/>
        <v>1.8245004344048743E-2</v>
      </c>
      <c r="G100" s="14">
        <f>(G99/F99)-1</f>
        <v>0.10580204778156999</v>
      </c>
      <c r="H100" s="14">
        <f>(H99/G99)-1</f>
        <v>4.9768518518518601E-2</v>
      </c>
      <c r="I100" s="14">
        <f t="shared" ref="I100:M100" si="206">(I99/H99)-1</f>
        <v>-3.5472440765383695E-2</v>
      </c>
      <c r="J100" s="14">
        <f t="shared" si="206"/>
        <v>3.4620386167881545E-2</v>
      </c>
      <c r="K100" s="14">
        <f t="shared" si="206"/>
        <v>5.8059493308466825E-2</v>
      </c>
      <c r="L100" s="14">
        <f t="shared" si="206"/>
        <v>7.3950815156761385E-2</v>
      </c>
      <c r="M100" s="14">
        <f t="shared" si="206"/>
        <v>8.2070048869986367E-2</v>
      </c>
    </row>
    <row r="101" spans="1:18" s="16" customFormat="1" ht="12" x14ac:dyDescent="0.15">
      <c r="A101" s="13" t="s">
        <v>35</v>
      </c>
      <c r="B101" s="14">
        <f>B99/B111</f>
        <v>1.5586336357689357E-2</v>
      </c>
      <c r="C101" s="14">
        <f t="shared" ref="C101:H101" si="207">C99/C111</f>
        <v>1.786678107311402E-2</v>
      </c>
      <c r="D101" s="14">
        <f t="shared" si="207"/>
        <v>1.4611148197596796E-2</v>
      </c>
      <c r="E101" s="14">
        <f t="shared" si="207"/>
        <v>1.3278190197673146E-2</v>
      </c>
      <c r="F101" s="14">
        <f t="shared" si="207"/>
        <v>1.2165626913854487E-2</v>
      </c>
      <c r="G101" s="14">
        <f t="shared" si="207"/>
        <v>1.3563437326663246E-2</v>
      </c>
      <c r="H101" s="14">
        <f t="shared" si="207"/>
        <v>1.19227584031128E-2</v>
      </c>
      <c r="I101" s="14">
        <f t="shared" ref="I101:M101" si="208">I99/I111</f>
        <v>1.1317238419258619E-2</v>
      </c>
      <c r="J101" s="14">
        <f t="shared" si="208"/>
        <v>1.0814674198649921E-2</v>
      </c>
      <c r="K101" s="14">
        <f t="shared" si="208"/>
        <v>1.0306424800062459E-2</v>
      </c>
      <c r="L101" s="14">
        <f t="shared" si="208"/>
        <v>9.9799942660070921E-3</v>
      </c>
      <c r="M101" s="14">
        <f t="shared" si="208"/>
        <v>9.7360514866267588E-3</v>
      </c>
    </row>
    <row r="102" spans="1:18" s="16" customFormat="1" ht="24" x14ac:dyDescent="0.15">
      <c r="A102" s="13" t="s">
        <v>36</v>
      </c>
      <c r="B102" s="14">
        <f t="shared" ref="B102:M102" si="209">B99/B203</f>
        <v>1.1481088328956926E-2</v>
      </c>
      <c r="C102" s="14">
        <f t="shared" si="209"/>
        <v>1.334546243939754E-2</v>
      </c>
      <c r="D102" s="14">
        <f t="shared" si="209"/>
        <v>1.1191072706820739E-2</v>
      </c>
      <c r="E102" s="14">
        <f t="shared" si="209"/>
        <v>1.0215719427174169E-2</v>
      </c>
      <c r="F102" s="14">
        <f t="shared" si="209"/>
        <v>9.2164449057909447E-3</v>
      </c>
      <c r="G102" s="14">
        <f t="shared" si="209"/>
        <v>9.6781781725717737E-3</v>
      </c>
      <c r="H102" s="14">
        <f t="shared" si="209"/>
        <v>8.3655894804480092E-3</v>
      </c>
      <c r="I102" s="14">
        <f t="shared" si="209"/>
        <v>7.4729277390245879E-3</v>
      </c>
      <c r="J102" s="14">
        <f t="shared" si="209"/>
        <v>6.9743758019543455E-3</v>
      </c>
      <c r="K102" s="14">
        <f t="shared" si="209"/>
        <v>6.7201776825949805E-3</v>
      </c>
      <c r="L102" s="14">
        <f t="shared" si="209"/>
        <v>6.5610262725193467E-3</v>
      </c>
      <c r="M102" s="14">
        <f t="shared" si="209"/>
        <v>6.4540923905448558E-3</v>
      </c>
    </row>
    <row r="103" spans="1:18" s="31" customFormat="1" ht="12" x14ac:dyDescent="0.15">
      <c r="A103" s="25" t="s">
        <v>37</v>
      </c>
      <c r="B103" s="17">
        <f t="shared" ref="B103:H103" si="210">B99/B65</f>
        <v>3.2270158543838541</v>
      </c>
      <c r="C103" s="17">
        <f t="shared" si="210"/>
        <v>4.3711162327546598</v>
      </c>
      <c r="D103" s="17">
        <f t="shared" si="210"/>
        <v>3.8337916659368374</v>
      </c>
      <c r="E103" s="17">
        <f t="shared" si="210"/>
        <v>3.8835868686851645</v>
      </c>
      <c r="F103" s="17">
        <f t="shared" si="210"/>
        <v>3.5510793372328551</v>
      </c>
      <c r="G103" s="17">
        <f t="shared" si="210"/>
        <v>3.9920159680638716</v>
      </c>
      <c r="H103" s="17">
        <f t="shared" si="210"/>
        <v>4.0914278496772427</v>
      </c>
      <c r="I103" s="70">
        <f>H103*(1+I104)</f>
        <v>4.0783352805582753</v>
      </c>
      <c r="J103" s="70">
        <f t="shared" ref="J103" si="211">I103*(1+J104)</f>
        <v>4.1183029663077466</v>
      </c>
      <c r="K103" s="70">
        <f t="shared" ref="K103" si="212">J103*(1+K104)</f>
        <v>4.134364347876347</v>
      </c>
      <c r="L103" s="70">
        <f t="shared" ref="L103" si="213">K103*(1+L104)</f>
        <v>4.1918320123118287</v>
      </c>
      <c r="M103" s="70">
        <f t="shared" ref="M103" si="214">L103*(1+M104)</f>
        <v>4.2702192709420599</v>
      </c>
      <c r="O103" s="72">
        <f>(H103/B103)^(1/6)-1</f>
        <v>4.0348789820808362E-2</v>
      </c>
      <c r="P103" s="72">
        <f>(H103/E103)^(1/3)-1</f>
        <v>1.7530160619565249E-2</v>
      </c>
      <c r="Q103" s="72">
        <f>(M103/H103)^(1/5)-1</f>
        <v>8.5909241531123559E-3</v>
      </c>
      <c r="R103" s="72">
        <f>(M103/I103)^(1/4)-1</f>
        <v>1.1560383609785063E-2</v>
      </c>
    </row>
    <row r="104" spans="1:18" s="18" customFormat="1" ht="12" x14ac:dyDescent="0.15">
      <c r="A104" s="13" t="s">
        <v>13</v>
      </c>
      <c r="B104" s="69"/>
      <c r="C104" s="14">
        <f t="shared" ref="C104" si="215">(C103/B103)-1</f>
        <v>0.35453819565731659</v>
      </c>
      <c r="D104" s="14">
        <f t="shared" ref="D104" si="216">(D103/C103)-1</f>
        <v>-0.12292616764372855</v>
      </c>
      <c r="E104" s="14">
        <f t="shared" ref="E104" si="217">(E103/D103)-1</f>
        <v>1.298849992052431E-2</v>
      </c>
      <c r="F104" s="14">
        <f t="shared" ref="F104" si="218">(F103/E103)-1</f>
        <v>-8.5618667148517735E-2</v>
      </c>
      <c r="G104" s="14">
        <f>(G103/F103)-1</f>
        <v>0.1241697492387237</v>
      </c>
      <c r="H104" s="14">
        <f>(H103/G103)-1</f>
        <v>2.4902676344149555E-2</v>
      </c>
      <c r="I104" s="14">
        <v>-3.2000000000000002E-3</v>
      </c>
      <c r="J104" s="14">
        <v>9.7999999999999997E-3</v>
      </c>
      <c r="K104" s="14">
        <v>3.8999999999999998E-3</v>
      </c>
      <c r="L104" s="14">
        <v>1.3899999999999999E-2</v>
      </c>
      <c r="M104" s="14">
        <v>1.8700000000000001E-2</v>
      </c>
    </row>
    <row r="105" spans="1:18" s="12" customFormat="1" ht="12" x14ac:dyDescent="0.15">
      <c r="A105" s="10" t="s">
        <v>43</v>
      </c>
      <c r="B105" s="6">
        <v>454.7</v>
      </c>
      <c r="C105" s="6">
        <v>277.3</v>
      </c>
      <c r="D105" s="6">
        <v>346.1</v>
      </c>
      <c r="E105" s="6">
        <v>568.79999999999995</v>
      </c>
      <c r="F105" s="6">
        <v>651.9</v>
      </c>
      <c r="G105" s="6">
        <v>700.7</v>
      </c>
      <c r="H105" s="6">
        <v>765.8</v>
      </c>
      <c r="I105" s="11">
        <f>I109*I65</f>
        <v>766.42294581524004</v>
      </c>
      <c r="J105" s="11">
        <f>J109*J65</f>
        <v>808.66202904681552</v>
      </c>
      <c r="K105" s="11">
        <f>K109*K65</f>
        <v>868.90823904466197</v>
      </c>
      <c r="L105" s="11">
        <f>L109*L65</f>
        <v>939.60731244823558</v>
      </c>
      <c r="M105" s="11">
        <f>M109*M65</f>
        <v>1023.4079141397324</v>
      </c>
    </row>
    <row r="106" spans="1:18" s="16" customFormat="1" ht="12" x14ac:dyDescent="0.15">
      <c r="A106" s="13" t="s">
        <v>13</v>
      </c>
      <c r="B106" s="14"/>
      <c r="C106" s="14">
        <f t="shared" ref="C106:F106" si="219">(C105/B105)-1</f>
        <v>-0.39014734990103361</v>
      </c>
      <c r="D106" s="14">
        <f t="shared" si="219"/>
        <v>0.24810674359899032</v>
      </c>
      <c r="E106" s="14">
        <f t="shared" si="219"/>
        <v>0.64345564865645732</v>
      </c>
      <c r="F106" s="14">
        <f t="shared" si="219"/>
        <v>0.14609704641350207</v>
      </c>
      <c r="G106" s="14">
        <f>(G105/F105)-1</f>
        <v>7.4858107071636759E-2</v>
      </c>
      <c r="H106" s="14">
        <f>(H105/G105)-1</f>
        <v>9.2907092907092759E-2</v>
      </c>
      <c r="I106" s="14">
        <f t="shared" ref="I106:M106" si="220">(I105/H105)-1</f>
        <v>8.134575806217903E-4</v>
      </c>
      <c r="J106" s="14">
        <f t="shared" si="220"/>
        <v>5.511197630786735E-2</v>
      </c>
      <c r="K106" s="14">
        <f t="shared" si="220"/>
        <v>7.4501099141330629E-2</v>
      </c>
      <c r="L106" s="14">
        <f t="shared" si="220"/>
        <v>8.1365408022031183E-2</v>
      </c>
      <c r="M106" s="14">
        <f t="shared" si="220"/>
        <v>8.9186834309693097E-2</v>
      </c>
    </row>
    <row r="107" spans="1:18" s="16" customFormat="1" ht="12" x14ac:dyDescent="0.15">
      <c r="A107" s="13" t="s">
        <v>35</v>
      </c>
      <c r="B107" s="14">
        <f>B105/B111</f>
        <v>4.3108924220446168E-2</v>
      </c>
      <c r="C107" s="14">
        <f t="shared" ref="C107:H107" si="221">C105/C111</f>
        <v>3.8376904659756142E-2</v>
      </c>
      <c r="D107" s="14">
        <f t="shared" si="221"/>
        <v>2.8880173564753007E-2</v>
      </c>
      <c r="E107" s="14">
        <f t="shared" si="221"/>
        <v>3.2809012095727563E-2</v>
      </c>
      <c r="F107" s="14">
        <f t="shared" si="221"/>
        <v>3.3834352325690015E-2</v>
      </c>
      <c r="G107" s="14">
        <f t="shared" si="221"/>
        <v>3.6666282927441889E-2</v>
      </c>
      <c r="H107" s="14">
        <f t="shared" si="221"/>
        <v>3.3555488368628372E-2</v>
      </c>
      <c r="I107" s="14">
        <f t="shared" ref="I107:M107" si="222">I105/I111</f>
        <v>3.3049567524540906E-2</v>
      </c>
      <c r="J107" s="14">
        <f t="shared" si="222"/>
        <v>3.2207445250776193E-2</v>
      </c>
      <c r="K107" s="14">
        <f t="shared" si="222"/>
        <v>3.1170778670605061E-2</v>
      </c>
      <c r="L107" s="14">
        <f t="shared" si="222"/>
        <v>3.0391909347325836E-2</v>
      </c>
      <c r="M107" s="14">
        <f t="shared" si="222"/>
        <v>2.9844036481742532E-2</v>
      </c>
    </row>
    <row r="108" spans="1:18" s="16" customFormat="1" ht="24" x14ac:dyDescent="0.15">
      <c r="A108" s="13" t="s">
        <v>36</v>
      </c>
      <c r="B108" s="14">
        <f t="shared" ref="B108:M108" si="223">B105/B203</f>
        <v>3.1754567294262251E-2</v>
      </c>
      <c r="C108" s="14">
        <f t="shared" si="223"/>
        <v>2.8665350382997199E-2</v>
      </c>
      <c r="D108" s="14">
        <f t="shared" si="223"/>
        <v>2.2120104305143676E-2</v>
      </c>
      <c r="E108" s="14">
        <f t="shared" si="223"/>
        <v>2.5241968767057633E-2</v>
      </c>
      <c r="F108" s="14">
        <f t="shared" si="223"/>
        <v>2.5632254411625924E-2</v>
      </c>
      <c r="G108" s="14">
        <f t="shared" si="223"/>
        <v>2.6163192305250934E-2</v>
      </c>
      <c r="H108" s="14">
        <f t="shared" si="223"/>
        <v>2.3544169144164222E-2</v>
      </c>
      <c r="I108" s="14">
        <f t="shared" si="223"/>
        <v>2.1823082696272037E-2</v>
      </c>
      <c r="J108" s="14">
        <f t="shared" si="223"/>
        <v>2.0770558841969069E-2</v>
      </c>
      <c r="K108" s="14">
        <f t="shared" si="223"/>
        <v>2.0324523317730735E-2</v>
      </c>
      <c r="L108" s="14">
        <f t="shared" si="223"/>
        <v>1.9980183393392886E-2</v>
      </c>
      <c r="M108" s="14">
        <f t="shared" si="223"/>
        <v>1.978380753476203E-2</v>
      </c>
    </row>
    <row r="109" spans="1:18" s="31" customFormat="1" ht="12" x14ac:dyDescent="0.15">
      <c r="A109" s="25" t="s">
        <v>37</v>
      </c>
      <c r="B109" s="17">
        <f t="shared" ref="B109:H109" si="224">B105/B65</f>
        <v>8.9253291300993816</v>
      </c>
      <c r="C109" s="17">
        <f t="shared" si="224"/>
        <v>9.3889274310059427</v>
      </c>
      <c r="D109" s="17">
        <f t="shared" si="224"/>
        <v>7.5778143665376332</v>
      </c>
      <c r="E109" s="17">
        <f t="shared" si="224"/>
        <v>9.5959348866556091</v>
      </c>
      <c r="F109" s="17">
        <f t="shared" si="224"/>
        <v>9.8760606652819884</v>
      </c>
      <c r="G109" s="17">
        <f t="shared" si="224"/>
        <v>10.791688228481309</v>
      </c>
      <c r="H109" s="17">
        <f t="shared" si="224"/>
        <v>11.514941004347049</v>
      </c>
      <c r="I109" s="70">
        <f>H109*(1+I110)</f>
        <v>11.909903480796153</v>
      </c>
      <c r="J109" s="70">
        <f t="shared" ref="J109" si="225">I109*(1+J110)</f>
        <v>12.26481860452388</v>
      </c>
      <c r="K109" s="70">
        <f t="shared" ref="K109" si="226">J109*(1+K110)</f>
        <v>12.503982567312097</v>
      </c>
      <c r="L109" s="70">
        <f t="shared" ref="L109" si="227">K109*(1+L110)</f>
        <v>12.765315802968919</v>
      </c>
      <c r="M109" s="70">
        <f t="shared" ref="M109" si="228">L109*(1+M110)</f>
        <v>13.089554824364331</v>
      </c>
      <c r="O109" s="72">
        <f>(H109/B109)^(1/6)-1</f>
        <v>4.3372965150328735E-2</v>
      </c>
      <c r="P109" s="72">
        <f>(H109/E109)^(1/3)-1</f>
        <v>6.2653005685196828E-2</v>
      </c>
      <c r="Q109" s="72">
        <f>(M109/H109)^(1/5)-1</f>
        <v>2.5965204186090496E-2</v>
      </c>
      <c r="R109" s="72">
        <f>(M109/I109)^(1/4)-1</f>
        <v>2.3892020990346152E-2</v>
      </c>
    </row>
    <row r="110" spans="1:18" s="18" customFormat="1" ht="12" x14ac:dyDescent="0.15">
      <c r="A110" s="13" t="s">
        <v>13</v>
      </c>
      <c r="B110" s="69"/>
      <c r="C110" s="14">
        <f t="shared" ref="C110" si="229">(C109/B109)-1</f>
        <v>5.1941871739288992E-2</v>
      </c>
      <c r="D110" s="14">
        <f t="shared" ref="D110" si="230">(D109/C109)-1</f>
        <v>-0.19289882446926787</v>
      </c>
      <c r="E110" s="14">
        <f t="shared" ref="E110" si="231">(E109/D109)-1</f>
        <v>0.26631960384641507</v>
      </c>
      <c r="F110" s="14">
        <f t="shared" ref="F110" si="232">(F109/E109)-1</f>
        <v>2.9192129994121796E-2</v>
      </c>
      <c r="G110" s="14">
        <f>(G109/F109)-1</f>
        <v>9.2711820454697058E-2</v>
      </c>
      <c r="H110" s="14">
        <f>(H109/G109)-1</f>
        <v>6.7019428337165898E-2</v>
      </c>
      <c r="I110" s="14">
        <v>3.4299999999999997E-2</v>
      </c>
      <c r="J110" s="14">
        <v>2.98E-2</v>
      </c>
      <c r="K110" s="14">
        <v>1.95E-2</v>
      </c>
      <c r="L110" s="14">
        <v>2.0899999999999998E-2</v>
      </c>
      <c r="M110" s="14">
        <v>2.5399999999999999E-2</v>
      </c>
    </row>
    <row r="111" spans="1:18" s="22" customFormat="1" ht="12" x14ac:dyDescent="0.15">
      <c r="A111" s="19" t="s">
        <v>44</v>
      </c>
      <c r="B111" s="20">
        <f t="shared" ref="B111:E111" si="233">SUM(B69+B75+B81+B87+B93+B99+B105)</f>
        <v>10547.699999999999</v>
      </c>
      <c r="C111" s="20">
        <f t="shared" si="233"/>
        <v>7225.7000000000016</v>
      </c>
      <c r="D111" s="20">
        <f t="shared" si="233"/>
        <v>11984</v>
      </c>
      <c r="E111" s="20">
        <f t="shared" si="233"/>
        <v>17336.699999999997</v>
      </c>
      <c r="F111" s="20">
        <f>SUM(F69+F75+F81+F87+F93+F99+F105)</f>
        <v>19267.400000000005</v>
      </c>
      <c r="G111" s="20">
        <f>SUM(G69+G75+G81+G87+G93+G99+G105)</f>
        <v>19110.2</v>
      </c>
      <c r="H111" s="20">
        <f>SUM(H69+H75+H81+H87+H93+H99+H105)</f>
        <v>22821.9</v>
      </c>
      <c r="I111" s="20">
        <f t="shared" ref="I111:M111" si="234">SUM(I69+I75+I81+I87+I93+I99+I105)</f>
        <v>23190.105142711291</v>
      </c>
      <c r="J111" s="20">
        <f t="shared" si="234"/>
        <v>25107.922182288796</v>
      </c>
      <c r="K111" s="20">
        <f t="shared" si="234"/>
        <v>27875.730928212819</v>
      </c>
      <c r="L111" s="20">
        <f t="shared" si="234"/>
        <v>30916.363355463582</v>
      </c>
      <c r="M111" s="20">
        <f t="shared" si="234"/>
        <v>34291.873177605019</v>
      </c>
      <c r="O111" s="29">
        <f>(H111/B111)^(1/6)-1</f>
        <v>0.13727546895766007</v>
      </c>
      <c r="P111" s="29">
        <f>(H111/E111)^(1/3)-1</f>
        <v>9.5961053917808181E-2</v>
      </c>
      <c r="Q111" s="29">
        <f>(M111/H111)^(1/5)-1</f>
        <v>8.484547581586499E-2</v>
      </c>
      <c r="R111" s="29">
        <f>(M111/I111)^(1/4)-1</f>
        <v>0.1027374472654683</v>
      </c>
    </row>
    <row r="112" spans="1:18" s="16" customFormat="1" ht="12" x14ac:dyDescent="0.15">
      <c r="A112" s="13" t="s">
        <v>13</v>
      </c>
      <c r="B112" s="14"/>
      <c r="C112" s="14">
        <f t="shared" ref="C112:F112" si="235">(C111/B111)-1</f>
        <v>-0.31495017871194642</v>
      </c>
      <c r="D112" s="14">
        <f t="shared" si="235"/>
        <v>0.65852443361888779</v>
      </c>
      <c r="E112" s="14">
        <f t="shared" si="235"/>
        <v>0.44665387182910532</v>
      </c>
      <c r="F112" s="14">
        <f t="shared" si="235"/>
        <v>0.1113649079697987</v>
      </c>
      <c r="G112" s="14">
        <f>(G111/F111)-1</f>
        <v>-8.1588590053668364E-3</v>
      </c>
      <c r="H112" s="14">
        <f>(H111/G111)-1</f>
        <v>0.19422612008246909</v>
      </c>
      <c r="I112" s="14">
        <f t="shared" ref="I112:M112" si="236">(I111/H111)-1</f>
        <v>1.6133851375708774E-2</v>
      </c>
      <c r="J112" s="14">
        <f t="shared" si="236"/>
        <v>8.2699799236584326E-2</v>
      </c>
      <c r="K112" s="14">
        <f t="shared" si="236"/>
        <v>0.11023647141444637</v>
      </c>
      <c r="L112" s="14">
        <f t="shared" si="236"/>
        <v>0.10907812372996339</v>
      </c>
      <c r="M112" s="14">
        <f t="shared" si="236"/>
        <v>0.10918198183050243</v>
      </c>
    </row>
    <row r="113" spans="1:18" s="16" customFormat="1" ht="12" x14ac:dyDescent="0.15">
      <c r="A113" s="13" t="s">
        <v>45</v>
      </c>
      <c r="B113" s="14">
        <f t="shared" ref="B113:M113" si="237">B111/B203</f>
        <v>0.73661238057992062</v>
      </c>
      <c r="C113" s="14">
        <f t="shared" si="237"/>
        <v>0.74694274166037822</v>
      </c>
      <c r="D113" s="14">
        <f t="shared" si="237"/>
        <v>0.76592698639942736</v>
      </c>
      <c r="E113" s="14">
        <f t="shared" si="237"/>
        <v>0.76936082968327713</v>
      </c>
      <c r="F113" s="14">
        <f t="shared" si="237"/>
        <v>0.75758076185083834</v>
      </c>
      <c r="G113" s="14">
        <f t="shared" si="237"/>
        <v>0.71354907605509688</v>
      </c>
      <c r="H113" s="14">
        <f t="shared" si="237"/>
        <v>0.70164882970906439</v>
      </c>
      <c r="I113" s="14">
        <f t="shared" si="237"/>
        <v>0.66031371454610843</v>
      </c>
      <c r="J113" s="14">
        <f t="shared" si="237"/>
        <v>0.64489929829092862</v>
      </c>
      <c r="K113" s="14">
        <f t="shared" si="237"/>
        <v>0.65203771559602852</v>
      </c>
      <c r="L113" s="14">
        <f t="shared" si="237"/>
        <v>0.65741783989464708</v>
      </c>
      <c r="M113" s="14">
        <f t="shared" si="237"/>
        <v>0.66290655913334728</v>
      </c>
    </row>
    <row r="114" spans="1:18" s="31" customFormat="1" ht="12" x14ac:dyDescent="0.15">
      <c r="A114" s="25" t="s">
        <v>37</v>
      </c>
      <c r="B114" s="17">
        <f t="shared" ref="B114:M114" si="238">B111/B65</f>
        <v>207.04133289102541</v>
      </c>
      <c r="C114" s="17">
        <f t="shared" si="238"/>
        <v>244.65046137114913</v>
      </c>
      <c r="D114" s="17">
        <f t="shared" si="238"/>
        <v>262.38811721637387</v>
      </c>
      <c r="E114" s="17">
        <f t="shared" si="238"/>
        <v>292.47862930640349</v>
      </c>
      <c r="F114" s="17">
        <f t="shared" si="238"/>
        <v>291.89447961689558</v>
      </c>
      <c r="G114" s="17">
        <f t="shared" si="238"/>
        <v>294.32185012690667</v>
      </c>
      <c r="H114" s="17">
        <f t="shared" si="238"/>
        <v>343.16118060473747</v>
      </c>
      <c r="I114" s="17">
        <f t="shared" si="238"/>
        <v>360.3648813846799</v>
      </c>
      <c r="J114" s="17">
        <f t="shared" si="238"/>
        <v>380.80693793085931</v>
      </c>
      <c r="K114" s="17">
        <f t="shared" si="238"/>
        <v>401.14437625851519</v>
      </c>
      <c r="L114" s="17">
        <f t="shared" si="238"/>
        <v>420.02348905045449</v>
      </c>
      <c r="M114" s="17">
        <f t="shared" si="238"/>
        <v>438.59867388823335</v>
      </c>
    </row>
    <row r="115" spans="1:18" s="9" customFormat="1" x14ac:dyDescent="0.15">
      <c r="A115" s="32"/>
      <c r="B115" s="7"/>
      <c r="C115" s="7"/>
      <c r="D115" s="7"/>
      <c r="E115" s="7"/>
      <c r="F115" s="7"/>
      <c r="G115" s="7"/>
      <c r="H115" s="7"/>
      <c r="I115" s="8"/>
      <c r="J115" s="8"/>
      <c r="K115" s="8"/>
      <c r="L115" s="8"/>
      <c r="M115" s="8"/>
    </row>
    <row r="116" spans="1:18" s="12" customFormat="1" ht="12" x14ac:dyDescent="0.15">
      <c r="A116" s="24" t="s">
        <v>46</v>
      </c>
      <c r="B116" s="6"/>
      <c r="C116" s="6"/>
      <c r="D116" s="6"/>
      <c r="E116" s="6"/>
      <c r="F116" s="6"/>
      <c r="G116" s="6"/>
      <c r="H116" s="6"/>
      <c r="I116" s="11"/>
      <c r="J116" s="11"/>
      <c r="K116" s="11"/>
      <c r="L116" s="11"/>
      <c r="M116" s="11"/>
    </row>
    <row r="117" spans="1:18" s="12" customFormat="1" ht="12" x14ac:dyDescent="0.15">
      <c r="A117" s="10" t="s">
        <v>47</v>
      </c>
      <c r="B117" s="6">
        <v>482.5</v>
      </c>
      <c r="C117" s="6">
        <v>304.8</v>
      </c>
      <c r="D117" s="6">
        <v>517.29999999999995</v>
      </c>
      <c r="E117" s="6">
        <v>778.5</v>
      </c>
      <c r="F117" s="6">
        <v>1002.9</v>
      </c>
      <c r="G117" s="6">
        <v>1160.2</v>
      </c>
      <c r="H117" s="6">
        <v>1318</v>
      </c>
      <c r="I117" s="11">
        <f>I121*I65</f>
        <v>1319.0721370912595</v>
      </c>
      <c r="J117" s="11">
        <f>J121*J65</f>
        <v>1405.8243499701425</v>
      </c>
      <c r="K117" s="11">
        <f>K121*K65</f>
        <v>1578.5683381726615</v>
      </c>
      <c r="L117" s="11">
        <f>L121*L65</f>
        <v>1799.9759021684724</v>
      </c>
      <c r="M117" s="11">
        <f>M121*M65</f>
        <v>2056.1073852567238</v>
      </c>
      <c r="O117" s="29">
        <f>(H117/B117)^(1/6)-1</f>
        <v>0.18232357351603756</v>
      </c>
      <c r="P117" s="29">
        <f>(H117/E117)^(1/3)-1</f>
        <v>0.19184267347925688</v>
      </c>
      <c r="Q117" s="29">
        <f>(M117/H117)^(1/5)-1</f>
        <v>9.3014885528431179E-2</v>
      </c>
      <c r="R117" s="29">
        <f>(M117/I117)^(1/4)-1</f>
        <v>0.11736306530455654</v>
      </c>
    </row>
    <row r="118" spans="1:18" s="16" customFormat="1" ht="12" x14ac:dyDescent="0.15">
      <c r="A118" s="13" t="s">
        <v>13</v>
      </c>
      <c r="B118" s="14"/>
      <c r="C118" s="14">
        <f t="shared" ref="C118:F118" si="239">(C117/B117)-1</f>
        <v>-0.36829015544041444</v>
      </c>
      <c r="D118" s="14">
        <f t="shared" si="239"/>
        <v>0.69717847769028851</v>
      </c>
      <c r="E118" s="14">
        <f t="shared" si="239"/>
        <v>0.50492944132998274</v>
      </c>
      <c r="F118" s="14">
        <f t="shared" si="239"/>
        <v>0.2882466281310212</v>
      </c>
      <c r="G118" s="14">
        <f>(G117/F117)-1</f>
        <v>0.15684514906770364</v>
      </c>
      <c r="H118" s="14">
        <f>(H117/G117)-1</f>
        <v>0.13601103258058944</v>
      </c>
      <c r="I118" s="14">
        <f t="shared" ref="I118:M118" si="240">(I117/H117)-1</f>
        <v>8.134575806217903E-4</v>
      </c>
      <c r="J118" s="14">
        <f t="shared" si="240"/>
        <v>6.5767603180659995E-2</v>
      </c>
      <c r="K118" s="14">
        <f t="shared" si="240"/>
        <v>0.122877362457257</v>
      </c>
      <c r="L118" s="14">
        <f t="shared" si="240"/>
        <v>0.1402584599233192</v>
      </c>
      <c r="M118" s="14">
        <f t="shared" si="240"/>
        <v>0.14229717341197956</v>
      </c>
    </row>
    <row r="119" spans="1:18" s="16" customFormat="1" ht="12" x14ac:dyDescent="0.15">
      <c r="A119" s="13" t="s">
        <v>48</v>
      </c>
      <c r="B119" s="14">
        <f>B117/B199</f>
        <v>0.12793318308365373</v>
      </c>
      <c r="C119" s="14">
        <f t="shared" ref="C119:M119" si="241">C117/C199</f>
        <v>0.12450980392156863</v>
      </c>
      <c r="D119" s="14">
        <f t="shared" si="241"/>
        <v>0.14124617737003059</v>
      </c>
      <c r="E119" s="14">
        <f t="shared" si="241"/>
        <v>0.14979219579773723</v>
      </c>
      <c r="F119" s="14">
        <f t="shared" si="241"/>
        <v>0.16266584487624483</v>
      </c>
      <c r="G119" s="14">
        <f t="shared" si="241"/>
        <v>0.15123114824615144</v>
      </c>
      <c r="H119" s="14">
        <f t="shared" si="241"/>
        <v>0.13581748109066177</v>
      </c>
      <c r="I119" s="14">
        <f t="shared" si="241"/>
        <v>0.1105702098086902</v>
      </c>
      <c r="J119" s="14">
        <f t="shared" si="241"/>
        <v>0.10168588231206753</v>
      </c>
      <c r="K119" s="14">
        <f t="shared" si="241"/>
        <v>0.10611521731463254</v>
      </c>
      <c r="L119" s="14">
        <f t="shared" si="241"/>
        <v>0.11172620044457317</v>
      </c>
      <c r="M119" s="14">
        <f t="shared" si="241"/>
        <v>0.11791161780548257</v>
      </c>
    </row>
    <row r="120" spans="1:18" s="16" customFormat="1" ht="24" x14ac:dyDescent="0.15">
      <c r="A120" s="13" t="s">
        <v>36</v>
      </c>
      <c r="B120" s="14">
        <f t="shared" ref="B120:H120" si="242">B117/B203</f>
        <v>3.3696016537236723E-2</v>
      </c>
      <c r="C120" s="14">
        <f t="shared" si="242"/>
        <v>3.1508109616796051E-2</v>
      </c>
      <c r="D120" s="14">
        <f t="shared" si="242"/>
        <v>3.3061918396564062E-2</v>
      </c>
      <c r="E120" s="14">
        <f t="shared" si="242"/>
        <v>3.4547947758710215E-2</v>
      </c>
      <c r="F120" s="14">
        <f t="shared" si="242"/>
        <v>3.9433330187788988E-2</v>
      </c>
      <c r="G120" s="14">
        <f t="shared" si="242"/>
        <v>4.332030214435869E-2</v>
      </c>
      <c r="H120" s="14">
        <f t="shared" si="242"/>
        <v>4.0521304429365954E-2</v>
      </c>
      <c r="I120" s="14">
        <f t="shared" ref="I120:M120" si="243">I117/I203</f>
        <v>3.7559183851771413E-2</v>
      </c>
      <c r="J120" s="14">
        <f t="shared" si="243"/>
        <v>3.6108728162921218E-2</v>
      </c>
      <c r="K120" s="14">
        <f t="shared" si="243"/>
        <v>3.6924093426823415E-2</v>
      </c>
      <c r="L120" s="14">
        <f t="shared" si="243"/>
        <v>3.8275403088665505E-2</v>
      </c>
      <c r="M120" s="14">
        <f t="shared" si="243"/>
        <v>3.9747232964203801E-2</v>
      </c>
    </row>
    <row r="121" spans="1:18" s="31" customFormat="1" ht="12" x14ac:dyDescent="0.15">
      <c r="A121" s="25" t="s">
        <v>37</v>
      </c>
      <c r="B121" s="17">
        <f t="shared" ref="B121:H121" si="244">B117/B65</f>
        <v>9.4710167259136835</v>
      </c>
      <c r="C121" s="17">
        <f t="shared" si="244"/>
        <v>10.320032747820452</v>
      </c>
      <c r="D121" s="17">
        <f t="shared" si="244"/>
        <v>11.326216041057258</v>
      </c>
      <c r="E121" s="17">
        <f t="shared" si="244"/>
        <v>13.133676704046049</v>
      </c>
      <c r="F121" s="17">
        <f t="shared" si="244"/>
        <v>15.19358987760593</v>
      </c>
      <c r="G121" s="17">
        <f t="shared" si="244"/>
        <v>17.86858382001429</v>
      </c>
      <c r="H121" s="17">
        <f t="shared" si="244"/>
        <v>19.818088591968415</v>
      </c>
      <c r="I121" s="70">
        <f>H121*(1+I122)</f>
        <v>20.497849030672931</v>
      </c>
      <c r="J121" s="70">
        <f t="shared" ref="J121" si="245">I121*(1+J122)</f>
        <v>21.321862561705984</v>
      </c>
      <c r="K121" s="70">
        <f t="shared" ref="K121" si="246">J121*(1+K122)</f>
        <v>22.716312373241554</v>
      </c>
      <c r="L121" s="70">
        <f t="shared" ref="L121" si="247">K121*(1+L122)</f>
        <v>24.454110269794533</v>
      </c>
      <c r="M121" s="70">
        <f t="shared" ref="M121" si="248">L121*(1+M122)</f>
        <v>26.29795018413704</v>
      </c>
    </row>
    <row r="122" spans="1:18" s="16" customFormat="1" ht="12" x14ac:dyDescent="0.15">
      <c r="A122" s="13" t="s">
        <v>13</v>
      </c>
      <c r="B122" s="14"/>
      <c r="C122" s="14">
        <f t="shared" ref="C122" si="249">(C121/B121)-1</f>
        <v>8.9643598620597231E-2</v>
      </c>
      <c r="D122" s="14">
        <f t="shared" ref="D122" si="250">(D121/C121)-1</f>
        <v>9.749807174297076E-2</v>
      </c>
      <c r="E122" s="14">
        <f t="shared" ref="E122" si="251">(E121/D121)-1</f>
        <v>0.1595820401479886</v>
      </c>
      <c r="F122" s="14">
        <f t="shared" ref="F122" si="252">(F121/E121)-1</f>
        <v>0.15684208009515643</v>
      </c>
      <c r="G122" s="14">
        <f>(G121/F121)-1</f>
        <v>0.17606069164411742</v>
      </c>
      <c r="H122" s="14">
        <f>(H121/G121)-1</f>
        <v>0.10910236600678558</v>
      </c>
      <c r="I122" s="14">
        <v>3.4299999999999997E-2</v>
      </c>
      <c r="J122" s="14">
        <v>4.02E-2</v>
      </c>
      <c r="K122" s="14">
        <v>6.54E-2</v>
      </c>
      <c r="L122" s="14">
        <v>7.6499999999999999E-2</v>
      </c>
      <c r="M122" s="14">
        <v>7.5399999999999995E-2</v>
      </c>
    </row>
    <row r="123" spans="1:18" s="12" customFormat="1" ht="12" x14ac:dyDescent="0.15">
      <c r="A123" s="10" t="s">
        <v>49</v>
      </c>
      <c r="B123" s="6">
        <v>527.29999999999995</v>
      </c>
      <c r="C123" s="6">
        <v>312.5</v>
      </c>
      <c r="D123" s="6">
        <v>537.1</v>
      </c>
      <c r="E123" s="6">
        <v>711.3</v>
      </c>
      <c r="F123" s="6">
        <v>761.5</v>
      </c>
      <c r="G123" s="6">
        <v>749</v>
      </c>
      <c r="H123" s="6">
        <v>774.8</v>
      </c>
      <c r="I123" s="11">
        <f>I127*I65</f>
        <v>689.88778075236883</v>
      </c>
      <c r="J123" s="11">
        <f>J127*J65</f>
        <v>740.4200141967799</v>
      </c>
      <c r="K123" s="11">
        <f>K127*K65</f>
        <v>787.93454206548518</v>
      </c>
      <c r="L123" s="11">
        <f>L127*L65</f>
        <v>843.11491642919373</v>
      </c>
      <c r="M123" s="11">
        <f>M127*M65</f>
        <v>904.33889362130469</v>
      </c>
    </row>
    <row r="124" spans="1:18" s="16" customFormat="1" ht="12" x14ac:dyDescent="0.15">
      <c r="A124" s="13" t="s">
        <v>13</v>
      </c>
      <c r="B124" s="14"/>
      <c r="C124" s="14">
        <f t="shared" ref="C124:F124" si="253">(C123/B123)-1</f>
        <v>-0.40735824009102972</v>
      </c>
      <c r="D124" s="14">
        <f t="shared" si="253"/>
        <v>0.71872000000000003</v>
      </c>
      <c r="E124" s="14">
        <f t="shared" si="253"/>
        <v>0.32433438838205153</v>
      </c>
      <c r="F124" s="14">
        <f t="shared" si="253"/>
        <v>7.0575003514691481E-2</v>
      </c>
      <c r="G124" s="14">
        <f>(G123/F123)-1</f>
        <v>-1.6414970453053179E-2</v>
      </c>
      <c r="H124" s="14">
        <f>(H123/G123)-1</f>
        <v>3.4445927903871798E-2</v>
      </c>
      <c r="I124" s="14">
        <f t="shared" ref="I124:M124" si="254">(I123/H123)-1</f>
        <v>-0.10959243578682387</v>
      </c>
      <c r="J124" s="14">
        <f t="shared" si="254"/>
        <v>7.3247033581754772E-2</v>
      </c>
      <c r="K124" s="14">
        <f t="shared" si="254"/>
        <v>6.417239804119812E-2</v>
      </c>
      <c r="L124" s="14">
        <f t="shared" si="254"/>
        <v>7.0031673213690082E-2</v>
      </c>
      <c r="M124" s="14">
        <f t="shared" si="254"/>
        <v>7.2616408509779573E-2</v>
      </c>
    </row>
    <row r="125" spans="1:18" s="16" customFormat="1" ht="12" x14ac:dyDescent="0.15">
      <c r="A125" s="13" t="s">
        <v>48</v>
      </c>
      <c r="B125" s="14">
        <f t="shared" ref="B125:H125" si="255">B123/B199</f>
        <v>0.13981174598965929</v>
      </c>
      <c r="C125" s="14">
        <f t="shared" si="255"/>
        <v>0.12765522875816993</v>
      </c>
      <c r="D125" s="14">
        <f t="shared" si="255"/>
        <v>0.14665246832678031</v>
      </c>
      <c r="E125" s="14">
        <f t="shared" si="255"/>
        <v>0.13686215654583234</v>
      </c>
      <c r="F125" s="14">
        <f t="shared" si="255"/>
        <v>0.12351185648944106</v>
      </c>
      <c r="G125" s="14">
        <f t="shared" si="255"/>
        <v>9.7631554935672674E-2</v>
      </c>
      <c r="H125" s="14">
        <f t="shared" si="255"/>
        <v>7.984171801900207E-2</v>
      </c>
      <c r="I125" s="14">
        <f t="shared" ref="I125:M125" si="256">I123/I199</f>
        <v>5.7829313892151159E-2</v>
      </c>
      <c r="J125" s="14">
        <f t="shared" si="256"/>
        <v>5.3555952723903365E-2</v>
      </c>
      <c r="K125" s="14">
        <f t="shared" si="256"/>
        <v>5.2966883434247047E-2</v>
      </c>
      <c r="L125" s="14">
        <f t="shared" si="256"/>
        <v>5.2332937367269815E-2</v>
      </c>
      <c r="M125" s="14">
        <f t="shared" si="256"/>
        <v>5.1861134664420383E-2</v>
      </c>
    </row>
    <row r="126" spans="1:18" s="16" customFormat="1" ht="24" x14ac:dyDescent="0.15">
      <c r="A126" s="13" t="s">
        <v>36</v>
      </c>
      <c r="B126" s="14">
        <f t="shared" ref="B126:H126" si="257">B123/B203</f>
        <v>3.6824682943181183E-2</v>
      </c>
      <c r="C126" s="14">
        <f t="shared" si="257"/>
        <v>3.2304082202259735E-2</v>
      </c>
      <c r="D126" s="14">
        <f t="shared" si="257"/>
        <v>3.4327385213211985E-2</v>
      </c>
      <c r="E126" s="14">
        <f t="shared" si="257"/>
        <v>3.1565774233488213E-2</v>
      </c>
      <c r="F126" s="14">
        <f t="shared" si="257"/>
        <v>2.9941650152558893E-2</v>
      </c>
      <c r="G126" s="14">
        <f t="shared" si="257"/>
        <v>2.7966649117500998E-2</v>
      </c>
      <c r="H126" s="14">
        <f t="shared" si="257"/>
        <v>2.3820870009008146E-2</v>
      </c>
      <c r="I126" s="14">
        <f t="shared" ref="I126:M126" si="258">I123/I203</f>
        <v>1.9643824826371951E-2</v>
      </c>
      <c r="J126" s="14">
        <f t="shared" si="258"/>
        <v>1.9017756392955932E-2</v>
      </c>
      <c r="K126" s="14">
        <f t="shared" si="258"/>
        <v>1.8430477757539483E-2</v>
      </c>
      <c r="L126" s="14">
        <f t="shared" si="258"/>
        <v>1.7928330727937428E-2</v>
      </c>
      <c r="M126" s="14">
        <f t="shared" si="258"/>
        <v>1.748204833127831E-2</v>
      </c>
    </row>
    <row r="127" spans="1:18" s="31" customFormat="1" ht="12" x14ac:dyDescent="0.15">
      <c r="A127" s="25" t="s">
        <v>37</v>
      </c>
      <c r="B127" s="17">
        <f t="shared" ref="B127:H127" si="259">B123/B65</f>
        <v>10.350398175283493</v>
      </c>
      <c r="C127" s="17">
        <f t="shared" si="259"/>
        <v>10.580742236528515</v>
      </c>
      <c r="D127" s="17">
        <f t="shared" si="259"/>
        <v>11.759734459021562</v>
      </c>
      <c r="E127" s="17">
        <f t="shared" si="259"/>
        <v>11.99997975541163</v>
      </c>
      <c r="F127" s="17">
        <f t="shared" si="259"/>
        <v>11.536462949244108</v>
      </c>
      <c r="G127" s="17">
        <f t="shared" si="259"/>
        <v>11.535570833641358</v>
      </c>
      <c r="H127" s="17">
        <f t="shared" si="259"/>
        <v>11.650269378647288</v>
      </c>
      <c r="I127" s="70">
        <f>H127*(1+I128)</f>
        <v>10.720577882231234</v>
      </c>
      <c r="J127" s="70">
        <f t="shared" ref="J127" si="260">I127*(1+J128)</f>
        <v>11.22980533163722</v>
      </c>
      <c r="K127" s="70">
        <f t="shared" ref="K127" si="261">J127*(1+K128)</f>
        <v>11.338734443354101</v>
      </c>
      <c r="L127" s="70">
        <f t="shared" ref="L127" si="262">K127*(1+L128)</f>
        <v>11.454389534676313</v>
      </c>
      <c r="M127" s="70">
        <f t="shared" ref="M127" si="263">L127*(1+M128)</f>
        <v>11.566642552116141</v>
      </c>
    </row>
    <row r="128" spans="1:18" s="16" customFormat="1" ht="12" x14ac:dyDescent="0.15">
      <c r="A128" s="13" t="s">
        <v>13</v>
      </c>
      <c r="B128" s="14"/>
      <c r="C128" s="14">
        <f t="shared" ref="C128" si="264">(C127/B127)-1</f>
        <v>2.2254608696608225E-2</v>
      </c>
      <c r="D128" s="14">
        <f t="shared" ref="D128" si="265">(D127/C127)-1</f>
        <v>0.11142812064948937</v>
      </c>
      <c r="E128" s="14">
        <f t="shared" ref="E128" si="266">(E127/D127)-1</f>
        <v>2.0429483099914991E-2</v>
      </c>
      <c r="F128" s="14">
        <f t="shared" ref="F128" si="267">(F127/E127)-1</f>
        <v>-3.8626465678701649E-2</v>
      </c>
      <c r="G128" s="14">
        <f>(G127/F127)-1</f>
        <v>-7.7330079997106616E-5</v>
      </c>
      <c r="H128" s="14">
        <f>(H127/G127)-1</f>
        <v>9.9430315725193008E-3</v>
      </c>
      <c r="I128" s="14">
        <v>-7.9799999999999996E-2</v>
      </c>
      <c r="J128" s="14">
        <v>4.7500000000000001E-2</v>
      </c>
      <c r="K128" s="14">
        <v>9.7000000000000003E-3</v>
      </c>
      <c r="L128" s="14">
        <v>1.0200000000000001E-2</v>
      </c>
      <c r="M128" s="14">
        <v>9.7999999999999997E-3</v>
      </c>
    </row>
    <row r="129" spans="1:18" s="12" customFormat="1" ht="12" x14ac:dyDescent="0.15">
      <c r="A129" s="10" t="s">
        <v>50</v>
      </c>
      <c r="B129" s="6">
        <v>378.6</v>
      </c>
      <c r="C129" s="6">
        <v>283.3</v>
      </c>
      <c r="D129" s="6">
        <v>401.6</v>
      </c>
      <c r="E129" s="6">
        <v>541.70000000000005</v>
      </c>
      <c r="F129" s="6">
        <v>610.20000000000005</v>
      </c>
      <c r="G129" s="6">
        <v>810.8</v>
      </c>
      <c r="H129" s="6">
        <v>856.6</v>
      </c>
      <c r="I129" s="11">
        <f>I133*I65</f>
        <v>846.18999424327455</v>
      </c>
      <c r="J129" s="11">
        <f>J133*J65</f>
        <v>941.98346932620711</v>
      </c>
      <c r="K129" s="11">
        <f>K133*K65</f>
        <v>1042.0456320872061</v>
      </c>
      <c r="L129" s="11">
        <f>L133*L65</f>
        <v>1199.2389820549506</v>
      </c>
      <c r="M129" s="11">
        <f>M133*M65</f>
        <v>1384.0269210051893</v>
      </c>
      <c r="O129" s="29">
        <f>(H129/B129)^(1/6)-1</f>
        <v>0.14577561924944638</v>
      </c>
      <c r="P129" s="29">
        <f>(H129/E129)^(1/3)-1</f>
        <v>0.16503707145849811</v>
      </c>
      <c r="Q129" s="29">
        <f>(M129/H129)^(1/5)-1</f>
        <v>0.10071096680521863</v>
      </c>
      <c r="R129" s="29">
        <f>(M129/I129)^(1/4)-1</f>
        <v>0.13088687318988868</v>
      </c>
    </row>
    <row r="130" spans="1:18" s="16" customFormat="1" ht="12" x14ac:dyDescent="0.15">
      <c r="A130" s="13" t="s">
        <v>13</v>
      </c>
      <c r="B130" s="14"/>
      <c r="C130" s="14">
        <f t="shared" ref="C130:F130" si="268">(C129/B129)-1</f>
        <v>-0.25171685155837298</v>
      </c>
      <c r="D130" s="14">
        <f t="shared" si="268"/>
        <v>0.41757853865160599</v>
      </c>
      <c r="E130" s="14">
        <f t="shared" si="268"/>
        <v>0.34885458167330685</v>
      </c>
      <c r="F130" s="14">
        <f t="shared" si="268"/>
        <v>0.12645375669189596</v>
      </c>
      <c r="G130" s="14">
        <f>(G129/F129)-1</f>
        <v>0.32874467387741713</v>
      </c>
      <c r="H130" s="14">
        <f>(H129/G129)-1</f>
        <v>5.6487419832264463E-2</v>
      </c>
      <c r="I130" s="14">
        <f t="shared" ref="I130:M130" si="269">(I129/H129)-1</f>
        <v>-1.2152703428350953E-2</v>
      </c>
      <c r="J130" s="14">
        <f t="shared" si="269"/>
        <v>0.11320563435472675</v>
      </c>
      <c r="K130" s="14">
        <f t="shared" si="269"/>
        <v>0.10622496680602311</v>
      </c>
      <c r="L130" s="14">
        <f t="shared" si="269"/>
        <v>0.15085073544513405</v>
      </c>
      <c r="M130" s="14">
        <f t="shared" si="269"/>
        <v>0.15408766869268709</v>
      </c>
    </row>
    <row r="131" spans="1:18" s="16" customFormat="1" ht="12" x14ac:dyDescent="0.15">
      <c r="A131" s="13" t="s">
        <v>48</v>
      </c>
      <c r="B131" s="14">
        <f t="shared" ref="B131:H131" si="270">B129/B199</f>
        <v>0.10038446241548456</v>
      </c>
      <c r="C131" s="14">
        <f t="shared" si="270"/>
        <v>0.11572712418300654</v>
      </c>
      <c r="D131" s="14">
        <f t="shared" si="270"/>
        <v>0.10965487112276107</v>
      </c>
      <c r="E131" s="14">
        <f t="shared" si="270"/>
        <v>0.10422920033864388</v>
      </c>
      <c r="F131" s="14">
        <f t="shared" si="270"/>
        <v>9.8971680669542927E-2</v>
      </c>
      <c r="G131" s="14">
        <f t="shared" si="270"/>
        <v>0.10568713583690707</v>
      </c>
      <c r="H131" s="14">
        <f t="shared" si="270"/>
        <v>8.8271057892458926E-2</v>
      </c>
      <c r="I131" s="14">
        <f t="shared" ref="I131:M131" si="271">I129/I199</f>
        <v>7.0931227012204015E-2</v>
      </c>
      <c r="J131" s="14">
        <f t="shared" si="271"/>
        <v>6.8135411229612086E-2</v>
      </c>
      <c r="K131" s="14">
        <f t="shared" si="271"/>
        <v>7.0048851244983446E-2</v>
      </c>
      <c r="L131" s="14">
        <f t="shared" si="271"/>
        <v>7.4437893712132899E-2</v>
      </c>
      <c r="M131" s="14">
        <f t="shared" si="271"/>
        <v>7.9369810405931968E-2</v>
      </c>
    </row>
    <row r="132" spans="1:18" s="16" customFormat="1" ht="24" x14ac:dyDescent="0.15">
      <c r="A132" s="13" t="s">
        <v>36</v>
      </c>
      <c r="B132" s="14">
        <f t="shared" ref="B132:H132" si="272">B129/B203</f>
        <v>2.6440024582378908E-2</v>
      </c>
      <c r="C132" s="14">
        <f t="shared" si="272"/>
        <v>2.9285588761280585E-2</v>
      </c>
      <c r="D132" s="14">
        <f t="shared" si="272"/>
        <v>2.5667246139687086E-2</v>
      </c>
      <c r="E132" s="14">
        <f t="shared" si="272"/>
        <v>2.4039336288880313E-2</v>
      </c>
      <c r="F132" s="14">
        <f t="shared" si="272"/>
        <v>2.399263942625271E-2</v>
      </c>
      <c r="G132" s="14">
        <f t="shared" si="272"/>
        <v>3.0274177709572508E-2</v>
      </c>
      <c r="H132" s="14">
        <f t="shared" si="272"/>
        <v>2.6335773425034049E-2</v>
      </c>
      <c r="I132" s="14">
        <f t="shared" ref="I132:M132" si="273">I129/I203</f>
        <v>2.4094365026462315E-2</v>
      </c>
      <c r="J132" s="14">
        <f t="shared" si="273"/>
        <v>2.4194932338871388E-2</v>
      </c>
      <c r="K132" s="14">
        <f t="shared" si="273"/>
        <v>2.4374358299078431E-2</v>
      </c>
      <c r="L132" s="14">
        <f t="shared" si="273"/>
        <v>2.5501094421595153E-2</v>
      </c>
      <c r="M132" s="14">
        <f t="shared" si="273"/>
        <v>2.675504249066947E-2</v>
      </c>
    </row>
    <row r="133" spans="1:18" s="31" customFormat="1" ht="12" x14ac:dyDescent="0.15">
      <c r="A133" s="25" t="s">
        <v>37</v>
      </c>
      <c r="B133" s="17">
        <f t="shared" ref="B133:H133" si="274">B129/B65</f>
        <v>7.4315584091832561</v>
      </c>
      <c r="C133" s="17">
        <f t="shared" si="274"/>
        <v>9.5920776819472895</v>
      </c>
      <c r="D133" s="17">
        <f t="shared" si="274"/>
        <v>8.7929796290133293</v>
      </c>
      <c r="E133" s="17">
        <f t="shared" si="274"/>
        <v>9.1387445993342915</v>
      </c>
      <c r="F133" s="17">
        <f t="shared" si="274"/>
        <v>9.2443200152708531</v>
      </c>
      <c r="G133" s="17">
        <f t="shared" si="274"/>
        <v>12.487370937138067</v>
      </c>
      <c r="H133" s="17">
        <f t="shared" si="274"/>
        <v>12.880253936176134</v>
      </c>
      <c r="I133" s="70">
        <f>H133*(1+I134)</f>
        <v>13.149451243442213</v>
      </c>
      <c r="J133" s="70">
        <f t="shared" ref="J133" si="275">I133*(1+J134)</f>
        <v>14.286878775999964</v>
      </c>
      <c r="K133" s="70">
        <f t="shared" ref="K133" si="276">J133*(1+K134)</f>
        <v>14.995507963289564</v>
      </c>
      <c r="L133" s="70">
        <f t="shared" ref="L133" si="277">K133*(1+L134)</f>
        <v>16.292619402114113</v>
      </c>
      <c r="M133" s="70">
        <f t="shared" ref="M133" si="278">L133*(1+M134)</f>
        <v>17.701930980396984</v>
      </c>
    </row>
    <row r="134" spans="1:18" s="16" customFormat="1" ht="12" x14ac:dyDescent="0.15">
      <c r="A134" s="13" t="s">
        <v>13</v>
      </c>
      <c r="B134" s="14"/>
      <c r="C134" s="14">
        <f t="shared" ref="C134" si="279">(C133/B133)-1</f>
        <v>0.29072223533818375</v>
      </c>
      <c r="D134" s="14">
        <f t="shared" ref="D134" si="280">(D133/C133)-1</f>
        <v>-8.3308129836969336E-2</v>
      </c>
      <c r="E134" s="14">
        <f t="shared" ref="E134" si="281">(E133/D133)-1</f>
        <v>3.9322844463334672E-2</v>
      </c>
      <c r="F134" s="14">
        <f t="shared" ref="F134" si="282">(F133/E133)-1</f>
        <v>1.1552507545101065E-2</v>
      </c>
      <c r="G134" s="14">
        <f>(G133/F133)-1</f>
        <v>0.35081551877368611</v>
      </c>
      <c r="H134" s="14">
        <f>(H133/G133)-1</f>
        <v>3.1462427200717791E-2</v>
      </c>
      <c r="I134" s="14">
        <v>2.0899999999999998E-2</v>
      </c>
      <c r="J134" s="14">
        <v>8.6499999999999994E-2</v>
      </c>
      <c r="K134" s="14">
        <v>4.9599999999999998E-2</v>
      </c>
      <c r="L134" s="14">
        <v>8.6499999999999994E-2</v>
      </c>
      <c r="M134" s="14">
        <v>8.6499999999999994E-2</v>
      </c>
    </row>
    <row r="135" spans="1:18" s="12" customFormat="1" ht="12" x14ac:dyDescent="0.15">
      <c r="A135" s="10" t="s">
        <v>51</v>
      </c>
      <c r="B135" s="6">
        <v>380.9</v>
      </c>
      <c r="C135" s="6">
        <v>253.8</v>
      </c>
      <c r="D135" s="6">
        <v>401.6</v>
      </c>
      <c r="E135" s="6">
        <v>614</v>
      </c>
      <c r="F135" s="6">
        <v>698.2</v>
      </c>
      <c r="G135" s="6">
        <v>687.7</v>
      </c>
      <c r="H135" s="6">
        <v>736.9</v>
      </c>
      <c r="I135" s="11">
        <f>I139*I65</f>
        <v>705.69775953899364</v>
      </c>
      <c r="J135" s="11">
        <f>J139*J65</f>
        <v>755.8696357591416</v>
      </c>
      <c r="K135" s="11">
        <f>K139*K65</f>
        <v>822.22052069444067</v>
      </c>
      <c r="L135" s="11">
        <f>L139*L65</f>
        <v>908.54231428242485</v>
      </c>
      <c r="M135" s="11">
        <f>M139*M65</f>
        <v>987.44919555206263</v>
      </c>
      <c r="O135" s="29">
        <f>(H135/B135)^(1/6)-1</f>
        <v>0.1162623169633723</v>
      </c>
      <c r="P135" s="29">
        <f>(H135/E135)^(1/3)-1</f>
        <v>6.2706642404535273E-2</v>
      </c>
      <c r="Q135" s="29">
        <f>(M135/H135)^(1/5)-1</f>
        <v>6.0281639026276368E-2</v>
      </c>
      <c r="R135" s="29">
        <f>(M135/I135)^(1/4)-1</f>
        <v>8.7612036973490737E-2</v>
      </c>
    </row>
    <row r="136" spans="1:18" s="16" customFormat="1" ht="12" x14ac:dyDescent="0.15">
      <c r="A136" s="13" t="s">
        <v>13</v>
      </c>
      <c r="B136" s="14"/>
      <c r="C136" s="14">
        <f t="shared" ref="C136:F136" si="283">(C135/B135)-1</f>
        <v>-0.33368338146495136</v>
      </c>
      <c r="D136" s="14">
        <f t="shared" si="283"/>
        <v>0.58234830575256114</v>
      </c>
      <c r="E136" s="14">
        <f t="shared" si="283"/>
        <v>0.5288844621513944</v>
      </c>
      <c r="F136" s="14">
        <f t="shared" si="283"/>
        <v>0.13713355048859932</v>
      </c>
      <c r="G136" s="14">
        <f>(G135/F135)-1</f>
        <v>-1.5038670867946191E-2</v>
      </c>
      <c r="H136" s="14">
        <f>(H135/G135)-1</f>
        <v>7.1542823905772712E-2</v>
      </c>
      <c r="I136" s="14">
        <f t="shared" ref="I136:M136" si="284">(I135/H135)-1</f>
        <v>-4.2342570852227368E-2</v>
      </c>
      <c r="J136" s="14">
        <f t="shared" si="284"/>
        <v>7.1095416617056317E-2</v>
      </c>
      <c r="K136" s="14">
        <f t="shared" si="284"/>
        <v>8.7780857698644077E-2</v>
      </c>
      <c r="L136" s="14">
        <f t="shared" si="284"/>
        <v>0.10498618243567748</v>
      </c>
      <c r="M136" s="14">
        <f t="shared" si="284"/>
        <v>8.6849979389192367E-2</v>
      </c>
    </row>
    <row r="137" spans="1:18" s="16" customFormat="1" ht="12" x14ac:dyDescent="0.15">
      <c r="A137" s="13" t="s">
        <v>48</v>
      </c>
      <c r="B137" s="14">
        <f t="shared" ref="B137:H137" si="285">B135/B199</f>
        <v>0.10099429935039109</v>
      </c>
      <c r="C137" s="14">
        <f t="shared" si="285"/>
        <v>0.1036764705882353</v>
      </c>
      <c r="D137" s="14">
        <f t="shared" si="285"/>
        <v>0.10965487112276107</v>
      </c>
      <c r="E137" s="14">
        <f t="shared" si="285"/>
        <v>0.11814053721234509</v>
      </c>
      <c r="F137" s="14">
        <f t="shared" si="285"/>
        <v>0.11324488273266942</v>
      </c>
      <c r="G137" s="14">
        <f t="shared" si="285"/>
        <v>8.9641148637199061E-2</v>
      </c>
      <c r="H137" s="14">
        <f t="shared" si="285"/>
        <v>7.5936192576410211E-2</v>
      </c>
      <c r="I137" s="14">
        <f t="shared" ref="I137:M137" si="286">I135/I199</f>
        <v>5.9154573233435467E-2</v>
      </c>
      <c r="J137" s="14">
        <f t="shared" si="286"/>
        <v>5.4673452502584576E-2</v>
      </c>
      <c r="K137" s="14">
        <f t="shared" si="286"/>
        <v>5.527167061708646E-2</v>
      </c>
      <c r="L137" s="14">
        <f t="shared" si="286"/>
        <v>5.6394077607153287E-2</v>
      </c>
      <c r="M137" s="14">
        <f t="shared" si="286"/>
        <v>5.662726226418785E-2</v>
      </c>
    </row>
    <row r="138" spans="1:18" s="16" customFormat="1" ht="24" x14ac:dyDescent="0.15">
      <c r="A138" s="13" t="s">
        <v>36</v>
      </c>
      <c r="B138" s="14">
        <f t="shared" ref="B138:H138" si="287">B135/B203</f>
        <v>2.6600648080898376E-2</v>
      </c>
      <c r="C138" s="14">
        <f t="shared" si="287"/>
        <v>2.6236083401387264E-2</v>
      </c>
      <c r="D138" s="14">
        <f t="shared" si="287"/>
        <v>2.5667246139687086E-2</v>
      </c>
      <c r="E138" s="14">
        <f t="shared" si="287"/>
        <v>2.7247835483427196E-2</v>
      </c>
      <c r="F138" s="14">
        <f t="shared" si="287"/>
        <v>2.7452738196344872E-2</v>
      </c>
      <c r="G138" s="14">
        <f t="shared" si="287"/>
        <v>2.5677789850608059E-2</v>
      </c>
      <c r="H138" s="14">
        <f t="shared" si="287"/>
        <v>2.2655651922609842E-2</v>
      </c>
      <c r="I138" s="14">
        <f t="shared" ref="I138:M138" si="288">I135/I203</f>
        <v>2.009399724927589E-2</v>
      </c>
      <c r="J138" s="14">
        <f t="shared" si="288"/>
        <v>1.9414581348525362E-2</v>
      </c>
      <c r="K138" s="14">
        <f t="shared" si="288"/>
        <v>1.9232456770745279E-2</v>
      </c>
      <c r="L138" s="14">
        <f t="shared" si="288"/>
        <v>1.9319604923807479E-2</v>
      </c>
      <c r="M138" s="14">
        <f t="shared" si="288"/>
        <v>1.9088678683493447E-2</v>
      </c>
    </row>
    <row r="139" spans="1:18" s="31" customFormat="1" ht="12" x14ac:dyDescent="0.15">
      <c r="A139" s="25" t="s">
        <v>37</v>
      </c>
      <c r="B139" s="17">
        <f t="shared" ref="B139:H139" si="289">B135/B65</f>
        <v>7.4767052246642942</v>
      </c>
      <c r="C139" s="17">
        <f t="shared" si="289"/>
        <v>8.5932556148189985</v>
      </c>
      <c r="D139" s="17">
        <f t="shared" si="289"/>
        <v>8.7929796290133293</v>
      </c>
      <c r="E139" s="17">
        <f t="shared" si="289"/>
        <v>10.358481048534713</v>
      </c>
      <c r="F139" s="17">
        <f t="shared" si="289"/>
        <v>10.577489732320732</v>
      </c>
      <c r="G139" s="17">
        <f t="shared" si="289"/>
        <v>10.591471378231191</v>
      </c>
      <c r="H139" s="17">
        <f t="shared" si="289"/>
        <v>11.080386557982946</v>
      </c>
      <c r="I139" s="70">
        <f>H139*(1+I140)</f>
        <v>10.966258576435722</v>
      </c>
      <c r="J139" s="70">
        <f t="shared" ref="J139" si="290">I139*(1+J140)</f>
        <v>11.464126715805905</v>
      </c>
      <c r="K139" s="70">
        <f t="shared" ref="K139" si="291">J139*(1+K140)</f>
        <v>11.832125183383276</v>
      </c>
      <c r="L139" s="70">
        <f t="shared" ref="L139" si="292">K139*(1+L140)</f>
        <v>12.343272991305433</v>
      </c>
      <c r="M139" s="70">
        <f t="shared" ref="M139" si="293">L139*(1+M140)</f>
        <v>12.629636924703721</v>
      </c>
    </row>
    <row r="140" spans="1:18" s="16" customFormat="1" ht="12" x14ac:dyDescent="0.15">
      <c r="A140" s="13" t="s">
        <v>13</v>
      </c>
      <c r="B140" s="14"/>
      <c r="C140" s="14">
        <f t="shared" ref="C140" si="294">(C139/B139)-1</f>
        <v>0.14933722229297031</v>
      </c>
      <c r="D140" s="14">
        <f t="shared" ref="D140" si="295">(D139/C139)-1</f>
        <v>2.3241949634304815E-2</v>
      </c>
      <c r="E140" s="14">
        <f t="shared" ref="E140" si="296">(E139/D139)-1</f>
        <v>0.17803992339022967</v>
      </c>
      <c r="F140" s="14">
        <f t="shared" ref="F140" si="297">(F139/E139)-1</f>
        <v>2.1142934254535284E-2</v>
      </c>
      <c r="G140" s="14">
        <f>(G139/F139)-1</f>
        <v>1.3218302512492119E-3</v>
      </c>
      <c r="H140" s="14">
        <f>(H139/G139)-1</f>
        <v>4.6161214272516515E-2</v>
      </c>
      <c r="I140" s="14">
        <v>-1.03E-2</v>
      </c>
      <c r="J140" s="14">
        <v>4.5400000000000003E-2</v>
      </c>
      <c r="K140" s="14">
        <v>3.2099999999999997E-2</v>
      </c>
      <c r="L140" s="14">
        <v>4.3200000000000002E-2</v>
      </c>
      <c r="M140" s="14">
        <v>2.3199999999999998E-2</v>
      </c>
    </row>
    <row r="141" spans="1:18" s="12" customFormat="1" ht="12" x14ac:dyDescent="0.15">
      <c r="A141" s="10" t="s">
        <v>52</v>
      </c>
      <c r="B141" s="6">
        <v>246.1</v>
      </c>
      <c r="C141" s="6">
        <v>207.8</v>
      </c>
      <c r="D141" s="6">
        <v>242.9</v>
      </c>
      <c r="E141" s="6">
        <v>305.8</v>
      </c>
      <c r="F141" s="6">
        <v>348.7</v>
      </c>
      <c r="G141" s="6">
        <v>418.5</v>
      </c>
      <c r="H141" s="6">
        <v>425.7</v>
      </c>
      <c r="I141" s="11">
        <f>I145*I65</f>
        <v>393.38122971277909</v>
      </c>
      <c r="J141" s="11">
        <f>J145*J65</f>
        <v>421.18761198997822</v>
      </c>
      <c r="K141" s="11">
        <f>K145*K65</f>
        <v>448.7489234380073</v>
      </c>
      <c r="L141" s="11">
        <f>L145*L65</f>
        <v>490.58522759862171</v>
      </c>
      <c r="M141" s="11">
        <f>M145*M65</f>
        <v>528.34628701408587</v>
      </c>
      <c r="O141" s="29">
        <f>(H141/B141)^(1/6)-1</f>
        <v>9.5633592523323818E-2</v>
      </c>
      <c r="P141" s="29">
        <f>(H141/E141)^(1/3)-1</f>
        <v>0.11657711650634117</v>
      </c>
      <c r="Q141" s="29">
        <f>(M141/H141)^(1/5)-1</f>
        <v>4.41502622932477E-2</v>
      </c>
      <c r="R141" s="29">
        <f>(M141/I141)^(1/4)-1</f>
        <v>7.6530296426885469E-2</v>
      </c>
    </row>
    <row r="142" spans="1:18" s="16" customFormat="1" ht="12" x14ac:dyDescent="0.15">
      <c r="A142" s="13" t="s">
        <v>13</v>
      </c>
      <c r="B142" s="14"/>
      <c r="C142" s="14">
        <f t="shared" ref="C142:F142" si="298">(C141/B141)-1</f>
        <v>-0.15562779357984557</v>
      </c>
      <c r="D142" s="14">
        <f t="shared" si="298"/>
        <v>0.16891241578440797</v>
      </c>
      <c r="E142" s="14">
        <f t="shared" si="298"/>
        <v>0.2589543021819678</v>
      </c>
      <c r="F142" s="14">
        <f t="shared" si="298"/>
        <v>0.14028776978417268</v>
      </c>
      <c r="G142" s="14">
        <f>(G141/F141)-1</f>
        <v>0.2001720676799541</v>
      </c>
      <c r="H142" s="14">
        <f>(H141/G141)-1</f>
        <v>1.7204301075268713E-2</v>
      </c>
      <c r="I142" s="14">
        <f t="shared" ref="I142:M142" si="299">(I141/H141)-1</f>
        <v>-7.591912212173102E-2</v>
      </c>
      <c r="J142" s="14">
        <f t="shared" si="299"/>
        <v>7.0685584814256464E-2</v>
      </c>
      <c r="K142" s="14">
        <f t="shared" si="299"/>
        <v>6.5437136951418395E-2</v>
      </c>
      <c r="L142" s="14">
        <f t="shared" si="299"/>
        <v>9.3228756606463348E-2</v>
      </c>
      <c r="M142" s="14">
        <f t="shared" si="299"/>
        <v>7.6971456316166975E-2</v>
      </c>
    </row>
    <row r="143" spans="1:18" s="16" customFormat="1" ht="12" x14ac:dyDescent="0.15">
      <c r="A143" s="13" t="s">
        <v>48</v>
      </c>
      <c r="B143" s="14">
        <f t="shared" ref="B143:H143" si="300">B141/B199</f>
        <v>6.5252552034999342E-2</v>
      </c>
      <c r="C143" s="14">
        <f t="shared" si="300"/>
        <v>8.4885620915032683E-2</v>
      </c>
      <c r="D143" s="14">
        <f t="shared" si="300"/>
        <v>6.632262996941897E-2</v>
      </c>
      <c r="E143" s="14">
        <f t="shared" si="300"/>
        <v>5.883937504810282E-2</v>
      </c>
      <c r="F143" s="14">
        <f t="shared" si="300"/>
        <v>5.6557563175138673E-2</v>
      </c>
      <c r="G143" s="14">
        <f t="shared" si="300"/>
        <v>5.4551142510786396E-2</v>
      </c>
      <c r="H143" s="14">
        <f t="shared" si="300"/>
        <v>4.3867603717977779E-2</v>
      </c>
      <c r="I143" s="14">
        <f t="shared" ref="I143:M143" si="301">I141/I199</f>
        <v>3.2974879751503136E-2</v>
      </c>
      <c r="J143" s="14">
        <f t="shared" si="301"/>
        <v>3.0465281060911561E-2</v>
      </c>
      <c r="K143" s="14">
        <f t="shared" si="301"/>
        <v>3.0165998125526217E-2</v>
      </c>
      <c r="L143" s="14">
        <f t="shared" si="301"/>
        <v>3.0451087377224222E-2</v>
      </c>
      <c r="M143" s="14">
        <f t="shared" si="301"/>
        <v>3.0299081609286762E-2</v>
      </c>
    </row>
    <row r="144" spans="1:18" s="16" customFormat="1" ht="24" x14ac:dyDescent="0.15">
      <c r="A144" s="13" t="s">
        <v>36</v>
      </c>
      <c r="B144" s="14">
        <f t="shared" ref="B144:H144" si="302">B141/B203</f>
        <v>1.718671434158333E-2</v>
      </c>
      <c r="C144" s="14">
        <f t="shared" si="302"/>
        <v>2.1480922501214632E-2</v>
      </c>
      <c r="D144" s="14">
        <f t="shared" si="302"/>
        <v>1.5524337866857552E-2</v>
      </c>
      <c r="E144" s="14">
        <f t="shared" si="302"/>
        <v>1.3570664643048919E-2</v>
      </c>
      <c r="F144" s="14">
        <f t="shared" si="302"/>
        <v>1.3710641376490197E-2</v>
      </c>
      <c r="G144" s="14">
        <f t="shared" si="302"/>
        <v>1.5626225174464842E-2</v>
      </c>
      <c r="H144" s="14">
        <f t="shared" si="302"/>
        <v>1.3087950907117667E-2</v>
      </c>
      <c r="I144" s="14">
        <f t="shared" ref="I144:M144" si="303">I141/I203</f>
        <v>1.1201114416076841E-2</v>
      </c>
      <c r="J144" s="14">
        <f t="shared" si="303"/>
        <v>1.0818242682493774E-2</v>
      </c>
      <c r="K144" s="14">
        <f t="shared" si="303"/>
        <v>1.0496629619084027E-2</v>
      </c>
      <c r="L144" s="14">
        <f t="shared" si="303"/>
        <v>1.0431999291246318E-2</v>
      </c>
      <c r="M144" s="14">
        <f t="shared" si="303"/>
        <v>1.0213621674773994E-2</v>
      </c>
    </row>
    <row r="145" spans="1:14" s="31" customFormat="1" ht="12" x14ac:dyDescent="0.15">
      <c r="A145" s="25" t="s">
        <v>37</v>
      </c>
      <c r="B145" s="17">
        <f t="shared" ref="B145:H145" si="304">B141/B65</f>
        <v>4.8307092564712075</v>
      </c>
      <c r="C145" s="17">
        <f t="shared" si="304"/>
        <v>7.0357703576020008</v>
      </c>
      <c r="D145" s="17">
        <f t="shared" si="304"/>
        <v>5.3182638244206615</v>
      </c>
      <c r="E145" s="17">
        <f t="shared" si="304"/>
        <v>5.1589959358988855</v>
      </c>
      <c r="F145" s="17">
        <f t="shared" si="304"/>
        <v>5.2826850038101387</v>
      </c>
      <c r="G145" s="17">
        <f t="shared" si="304"/>
        <v>6.4454424484364594</v>
      </c>
      <c r="H145" s="17">
        <f t="shared" si="304"/>
        <v>6.4010321044013301</v>
      </c>
      <c r="I145" s="70">
        <f>H145*(1+I146)</f>
        <v>6.1129856597032699</v>
      </c>
      <c r="J145" s="70">
        <f t="shared" ref="J145" si="305">I145*(1+J146)</f>
        <v>6.3880700143899167</v>
      </c>
      <c r="K145" s="70">
        <f t="shared" ref="K145" si="306">J145*(1+K146)</f>
        <v>6.4576999775467661</v>
      </c>
      <c r="L145" s="70">
        <f t="shared" ref="L145" si="307">K145*(1+L146)</f>
        <v>6.6649921468260169</v>
      </c>
      <c r="M145" s="70">
        <f t="shared" ref="M145" si="308">L145*(1+M146)</f>
        <v>6.7576355376668991</v>
      </c>
    </row>
    <row r="146" spans="1:14" s="16" customFormat="1" ht="12" x14ac:dyDescent="0.15">
      <c r="A146" s="13" t="s">
        <v>13</v>
      </c>
      <c r="B146" s="14"/>
      <c r="C146" s="14">
        <f t="shared" ref="C146" si="309">(C145/B145)-1</f>
        <v>0.45646735997967558</v>
      </c>
      <c r="D146" s="14">
        <f t="shared" ref="D146" si="310">(D145/C145)-1</f>
        <v>-0.24411065823454714</v>
      </c>
      <c r="E146" s="14">
        <f t="shared" ref="E146" si="311">(E145/D145)-1</f>
        <v>-2.9947346310734368E-2</v>
      </c>
      <c r="F146" s="14">
        <f t="shared" ref="F146" si="312">(F145/E145)-1</f>
        <v>2.3975414876868273E-2</v>
      </c>
      <c r="G146" s="14">
        <f>(G145/F145)-1</f>
        <v>0.22010728328258855</v>
      </c>
      <c r="H146" s="14">
        <f>(H145/G145)-1</f>
        <v>-6.8901932474632055E-3</v>
      </c>
      <c r="I146" s="14">
        <v>-4.4999999999999998E-2</v>
      </c>
      <c r="J146" s="14">
        <v>4.4999999999999998E-2</v>
      </c>
      <c r="K146" s="14">
        <v>1.09E-2</v>
      </c>
      <c r="L146" s="14">
        <v>3.2099999999999997E-2</v>
      </c>
      <c r="M146" s="14">
        <v>1.3899999999999999E-2</v>
      </c>
    </row>
    <row r="147" spans="1:14" s="12" customFormat="1" ht="12" x14ac:dyDescent="0.15">
      <c r="A147" s="10" t="s">
        <v>53</v>
      </c>
      <c r="B147" s="6">
        <v>222.4</v>
      </c>
      <c r="C147" s="6">
        <v>102.7</v>
      </c>
      <c r="D147" s="6">
        <v>189.2</v>
      </c>
      <c r="E147" s="6">
        <v>238.2</v>
      </c>
      <c r="F147" s="6">
        <v>226.3</v>
      </c>
      <c r="G147" s="6">
        <v>241.8</v>
      </c>
      <c r="H147" s="6">
        <v>266.8</v>
      </c>
      <c r="I147" s="11">
        <f>I151*I65</f>
        <v>246.54477821792221</v>
      </c>
      <c r="J147" s="11">
        <f>J151*J65</f>
        <v>249.4976891737345</v>
      </c>
      <c r="K147" s="11">
        <f>K151*K65</f>
        <v>265.4559626211659</v>
      </c>
      <c r="L147" s="11">
        <f>L151*L65</f>
        <v>279.68802467083952</v>
      </c>
      <c r="M147" s="11">
        <f>M151*M65</f>
        <v>295.95758789902266</v>
      </c>
      <c r="N147" s="11"/>
    </row>
    <row r="148" spans="1:14" s="16" customFormat="1" ht="12" x14ac:dyDescent="0.15">
      <c r="A148" s="13" t="s">
        <v>13</v>
      </c>
      <c r="B148" s="14"/>
      <c r="C148" s="14">
        <f t="shared" ref="C148:F148" si="313">(C147/B147)-1</f>
        <v>-0.53821942446043169</v>
      </c>
      <c r="D148" s="14">
        <f t="shared" si="313"/>
        <v>0.84225900681596877</v>
      </c>
      <c r="E148" s="14">
        <f t="shared" si="313"/>
        <v>0.2589852008456659</v>
      </c>
      <c r="F148" s="14">
        <f t="shared" si="313"/>
        <v>-4.9958018471872312E-2</v>
      </c>
      <c r="G148" s="14">
        <f>(G147/F147)-1</f>
        <v>6.8493150684931559E-2</v>
      </c>
      <c r="H148" s="14">
        <f>(H147/G147)-1</f>
        <v>0.10339123242349046</v>
      </c>
      <c r="I148" s="14">
        <f t="shared" ref="I148:M148" si="314">(I147/H147)-1</f>
        <v>-7.5919122121730909E-2</v>
      </c>
      <c r="J148" s="14">
        <f t="shared" si="314"/>
        <v>1.1977179063197063E-2</v>
      </c>
      <c r="K148" s="14">
        <f t="shared" si="314"/>
        <v>6.3961608222828259E-2</v>
      </c>
      <c r="L148" s="14">
        <f t="shared" si="314"/>
        <v>5.3613646154877737E-2</v>
      </c>
      <c r="M148" s="14">
        <f t="shared" si="314"/>
        <v>5.8170396273957481E-2</v>
      </c>
    </row>
    <row r="149" spans="1:14" s="16" customFormat="1" ht="12" x14ac:dyDescent="0.15">
      <c r="A149" s="13" t="s">
        <v>48</v>
      </c>
      <c r="B149" s="14">
        <f t="shared" ref="B149:H149" si="315">B147/B199</f>
        <v>5.8968580140527645E-2</v>
      </c>
      <c r="C149" s="14">
        <f t="shared" si="315"/>
        <v>4.1952614379084971E-2</v>
      </c>
      <c r="D149" s="14">
        <f t="shared" si="315"/>
        <v>5.1660113586719097E-2</v>
      </c>
      <c r="E149" s="14">
        <f t="shared" si="315"/>
        <v>4.5832371276841366E-2</v>
      </c>
      <c r="F149" s="14">
        <f t="shared" si="315"/>
        <v>3.6704836669153661E-2</v>
      </c>
      <c r="G149" s="14">
        <f t="shared" si="315"/>
        <v>3.1518437895121029E-2</v>
      </c>
      <c r="H149" s="14">
        <f t="shared" si="315"/>
        <v>2.7493250345211349E-2</v>
      </c>
      <c r="I149" s="14">
        <f t="shared" ref="I149:M149" si="316">I147/I199</f>
        <v>2.0666426867984585E-2</v>
      </c>
      <c r="J149" s="14">
        <f t="shared" si="316"/>
        <v>1.8046630547402312E-2</v>
      </c>
      <c r="K149" s="14">
        <f t="shared" si="316"/>
        <v>1.7844597842129606E-2</v>
      </c>
      <c r="L149" s="14">
        <f t="shared" si="316"/>
        <v>1.7360499253726219E-2</v>
      </c>
      <c r="M149" s="14">
        <f t="shared" si="316"/>
        <v>1.6972283763586053E-2</v>
      </c>
    </row>
    <row r="150" spans="1:14" s="16" customFormat="1" ht="24" x14ac:dyDescent="0.15">
      <c r="A150" s="13" t="s">
        <v>36</v>
      </c>
      <c r="B150" s="14">
        <f t="shared" ref="B150:H150" si="317">B147/B203</f>
        <v>1.5531593943795744E-2</v>
      </c>
      <c r="C150" s="14">
        <f t="shared" si="317"/>
        <v>1.0616413574950639E-2</v>
      </c>
      <c r="D150" s="14">
        <f t="shared" si="317"/>
        <v>1.2092238470191226E-2</v>
      </c>
      <c r="E150" s="14">
        <f t="shared" si="317"/>
        <v>1.0570740084938694E-2</v>
      </c>
      <c r="F150" s="14">
        <f t="shared" si="317"/>
        <v>8.8979585417256445E-3</v>
      </c>
      <c r="G150" s="14">
        <f t="shared" si="317"/>
        <v>9.0284856563574659E-3</v>
      </c>
      <c r="H150" s="14">
        <f t="shared" si="317"/>
        <v>8.2026434155954755E-3</v>
      </c>
      <c r="I150" s="14">
        <f t="shared" ref="I150:M150" si="318">I147/I203</f>
        <v>7.0201017763901856E-3</v>
      </c>
      <c r="J150" s="14">
        <f t="shared" si="318"/>
        <v>6.4083711708669217E-3</v>
      </c>
      <c r="K150" s="14">
        <f t="shared" si="318"/>
        <v>6.2092470294175988E-3</v>
      </c>
      <c r="L150" s="14">
        <f t="shared" si="318"/>
        <v>5.9473973348488935E-3</v>
      </c>
      <c r="M150" s="14">
        <f t="shared" si="318"/>
        <v>5.7212455332324476E-3</v>
      </c>
    </row>
    <row r="151" spans="1:14" s="31" customFormat="1" ht="12" x14ac:dyDescent="0.15">
      <c r="A151" s="25" t="s">
        <v>37</v>
      </c>
      <c r="B151" s="17">
        <f t="shared" ref="B151:H151" si="319">B147/B65</f>
        <v>4.365500766514411</v>
      </c>
      <c r="C151" s="17">
        <f t="shared" si="319"/>
        <v>3.4772551286127311</v>
      </c>
      <c r="D151" s="17">
        <f t="shared" si="319"/>
        <v>4.1425093272144471</v>
      </c>
      <c r="E151" s="17">
        <f t="shared" si="319"/>
        <v>4.0185507911416423</v>
      </c>
      <c r="F151" s="17">
        <f t="shared" si="319"/>
        <v>3.4283671246407641</v>
      </c>
      <c r="G151" s="17">
        <f t="shared" si="319"/>
        <v>3.724033414652177</v>
      </c>
      <c r="H151" s="17">
        <f t="shared" si="319"/>
        <v>4.011734473700435</v>
      </c>
      <c r="I151" s="70">
        <f>H151*(1+I152)</f>
        <v>3.8312064223839153</v>
      </c>
      <c r="J151" s="70">
        <f t="shared" ref="J151" si="320">I151*(1+J152)</f>
        <v>3.7840825833885932</v>
      </c>
      <c r="K151" s="70">
        <f t="shared" ref="K151" si="321">J151*(1+K152)</f>
        <v>3.8200313679307851</v>
      </c>
      <c r="L151" s="70">
        <f t="shared" ref="L151" si="322">K151*(1+L152)</f>
        <v>3.7997852016807521</v>
      </c>
      <c r="M151" s="70">
        <f t="shared" ref="M151" si="323">L151*(1+M152)</f>
        <v>3.7853460179143652</v>
      </c>
    </row>
    <row r="152" spans="1:14" s="16" customFormat="1" ht="12" x14ac:dyDescent="0.15">
      <c r="A152" s="13" t="s">
        <v>13</v>
      </c>
      <c r="B152" s="14"/>
      <c r="C152" s="14">
        <f t="shared" ref="C152" si="324">(C151/B151)-1</f>
        <v>-0.2034693579061928</v>
      </c>
      <c r="D152" s="14">
        <f t="shared" ref="D152" si="325">(D151/C151)-1</f>
        <v>0.19131590119104169</v>
      </c>
      <c r="E152" s="14">
        <f t="shared" ref="E152" si="326">(E151/D151)-1</f>
        <v>-2.992353819421778E-2</v>
      </c>
      <c r="F152" s="14">
        <f t="shared" ref="F152" si="327">(F151/E151)-1</f>
        <v>-0.1468648020579606</v>
      </c>
      <c r="G152" s="14">
        <f>(G151/F151)-1</f>
        <v>8.6241140246143821E-2</v>
      </c>
      <c r="H152" s="14">
        <f>(H151/G151)-1</f>
        <v>7.7255230287757604E-2</v>
      </c>
      <c r="I152" s="14">
        <v>-4.4999999999999998E-2</v>
      </c>
      <c r="J152" s="14">
        <v>-1.23E-2</v>
      </c>
      <c r="K152" s="14">
        <v>9.4999999999999998E-3</v>
      </c>
      <c r="L152" s="14">
        <v>-5.3E-3</v>
      </c>
      <c r="M152" s="14">
        <v>-3.8E-3</v>
      </c>
    </row>
    <row r="153" spans="1:14" s="12" customFormat="1" ht="12" x14ac:dyDescent="0.15">
      <c r="A153" s="10" t="s">
        <v>54</v>
      </c>
      <c r="B153" s="6">
        <v>143.19999999999999</v>
      </c>
      <c r="C153" s="6">
        <v>96.8</v>
      </c>
      <c r="D153" s="6">
        <v>140.69999999999999</v>
      </c>
      <c r="E153" s="6">
        <v>171.8</v>
      </c>
      <c r="F153" s="6">
        <v>178.4</v>
      </c>
      <c r="G153" s="6">
        <v>183.7</v>
      </c>
      <c r="H153" s="6">
        <v>205.1</v>
      </c>
      <c r="I153" s="11">
        <f>I157*I65</f>
        <v>193.815716997274</v>
      </c>
      <c r="J153" s="11">
        <f>J157*J65</f>
        <v>201.2405785674957</v>
      </c>
      <c r="K153" s="11">
        <f>K157*K65</f>
        <v>214.1758788098725</v>
      </c>
      <c r="L153" s="11">
        <f>L157*L65</f>
        <v>224.07060164835835</v>
      </c>
      <c r="M153" s="11">
        <f>M157*M65</f>
        <v>240.15139654250521</v>
      </c>
    </row>
    <row r="154" spans="1:14" s="16" customFormat="1" ht="12" x14ac:dyDescent="0.15">
      <c r="A154" s="13" t="s">
        <v>13</v>
      </c>
      <c r="B154" s="14"/>
      <c r="C154" s="14">
        <f t="shared" ref="C154:F154" si="328">(C153/B153)-1</f>
        <v>-0.32402234636871508</v>
      </c>
      <c r="D154" s="14">
        <f t="shared" si="328"/>
        <v>0.45351239669421473</v>
      </c>
      <c r="E154" s="14">
        <f t="shared" si="328"/>
        <v>0.22103766879886311</v>
      </c>
      <c r="F154" s="14">
        <f t="shared" si="328"/>
        <v>3.8416763678696064E-2</v>
      </c>
      <c r="G154" s="14">
        <f>(G153/F153)-1</f>
        <v>2.9708520179372089E-2</v>
      </c>
      <c r="H154" s="14">
        <f>(H153/G153)-1</f>
        <v>0.11649428415895491</v>
      </c>
      <c r="I154" s="14">
        <f t="shared" ref="I154:M154" si="329">(I153/H153)-1</f>
        <v>-5.5018444674431954E-2</v>
      </c>
      <c r="J154" s="14">
        <f t="shared" si="329"/>
        <v>3.8308872393079119E-2</v>
      </c>
      <c r="K154" s="14">
        <f t="shared" si="329"/>
        <v>6.427779295038305E-2</v>
      </c>
      <c r="L154" s="14">
        <f t="shared" si="329"/>
        <v>4.6199053289607717E-2</v>
      </c>
      <c r="M154" s="14">
        <f t="shared" si="329"/>
        <v>7.1766643084142823E-2</v>
      </c>
    </row>
    <row r="155" spans="1:14" s="16" customFormat="1" ht="12" x14ac:dyDescent="0.15">
      <c r="A155" s="13" t="s">
        <v>48</v>
      </c>
      <c r="B155" s="14">
        <f t="shared" ref="B155:H155" si="330">B153/B199</f>
        <v>3.7968977860267795E-2</v>
      </c>
      <c r="C155" s="14">
        <f t="shared" si="330"/>
        <v>3.9542483660130717E-2</v>
      </c>
      <c r="D155" s="14">
        <f t="shared" si="330"/>
        <v>3.8417431192660556E-2</v>
      </c>
      <c r="E155" s="14">
        <f t="shared" si="330"/>
        <v>3.3056261063649658E-2</v>
      </c>
      <c r="F155" s="14">
        <f t="shared" si="330"/>
        <v>2.8935673273429136E-2</v>
      </c>
      <c r="G155" s="14">
        <f t="shared" si="330"/>
        <v>2.3945149054316512E-2</v>
      </c>
      <c r="H155" s="14">
        <f t="shared" si="330"/>
        <v>2.1135178582469445E-2</v>
      </c>
      <c r="I155" s="14">
        <f t="shared" ref="I155:M155" si="331">I153/I199</f>
        <v>1.624645376853083E-2</v>
      </c>
      <c r="J155" s="14">
        <f t="shared" si="331"/>
        <v>1.4556104245214814E-2</v>
      </c>
      <c r="K155" s="14">
        <f t="shared" si="331"/>
        <v>1.4397425422690914E-2</v>
      </c>
      <c r="L155" s="14">
        <f t="shared" si="331"/>
        <v>1.3908273395960959E-2</v>
      </c>
      <c r="M155" s="14">
        <f t="shared" si="331"/>
        <v>1.3771965359210638E-2</v>
      </c>
    </row>
    <row r="156" spans="1:14" s="16" customFormat="1" ht="24" x14ac:dyDescent="0.15">
      <c r="A156" s="13" t="s">
        <v>36</v>
      </c>
      <c r="B156" s="14">
        <f t="shared" ref="B156:H156" si="332">B153/B203</f>
        <v>1.0000558690429633E-2</v>
      </c>
      <c r="C156" s="14">
        <f t="shared" si="332"/>
        <v>1.0006512502971975E-2</v>
      </c>
      <c r="D156" s="14">
        <f t="shared" si="332"/>
        <v>8.9924838940586959E-3</v>
      </c>
      <c r="E156" s="14">
        <f t="shared" si="332"/>
        <v>7.6240686254931472E-3</v>
      </c>
      <c r="F156" s="14">
        <f t="shared" si="332"/>
        <v>7.0145638702777497E-3</v>
      </c>
      <c r="G156" s="14">
        <f t="shared" si="332"/>
        <v>6.859110070607387E-3</v>
      </c>
      <c r="H156" s="14">
        <f t="shared" si="332"/>
        <v>6.3057052643876758E-3</v>
      </c>
      <c r="I156" s="14">
        <f t="shared" ref="I156:M156" si="333">I153/I203</f>
        <v>5.5186975324306156E-3</v>
      </c>
      <c r="J156" s="14">
        <f t="shared" si="333"/>
        <v>5.1688828316261712E-3</v>
      </c>
      <c r="K156" s="14">
        <f t="shared" si="333"/>
        <v>5.0097610396153463E-3</v>
      </c>
      <c r="L156" s="14">
        <f t="shared" si="333"/>
        <v>4.764726343324116E-3</v>
      </c>
      <c r="M156" s="14">
        <f t="shared" si="333"/>
        <v>4.6424391904326618E-3</v>
      </c>
    </row>
    <row r="157" spans="1:14" s="31" customFormat="1" ht="12" x14ac:dyDescent="0.15">
      <c r="A157" s="25" t="s">
        <v>37</v>
      </c>
      <c r="B157" s="17">
        <f t="shared" ref="B157:H157" si="334">B153/B65</f>
        <v>2.8108799899499264</v>
      </c>
      <c r="C157" s="17">
        <f t="shared" si="334"/>
        <v>3.2774907151870725</v>
      </c>
      <c r="D157" s="17">
        <f t="shared" si="334"/>
        <v>3.080608151897847</v>
      </c>
      <c r="E157" s="17">
        <f t="shared" si="334"/>
        <v>2.8983502347528729</v>
      </c>
      <c r="F157" s="17">
        <f t="shared" si="334"/>
        <v>2.7026986082011146</v>
      </c>
      <c r="G157" s="17">
        <f t="shared" si="334"/>
        <v>2.8292181069958842</v>
      </c>
      <c r="H157" s="17">
        <f t="shared" si="334"/>
        <v>3.0839832854421254</v>
      </c>
      <c r="I157" s="70">
        <f>H157*(1+I158)</f>
        <v>3.0118180765627796</v>
      </c>
      <c r="J157" s="70">
        <f t="shared" ref="J157" si="335">I157*(1+J158)</f>
        <v>3.0521764387887211</v>
      </c>
      <c r="K157" s="70">
        <f t="shared" ref="K157" si="336">J157*(1+K158)</f>
        <v>3.0820877678888507</v>
      </c>
      <c r="L157" s="70">
        <f t="shared" ref="L157" si="337">K157*(1+L158)</f>
        <v>3.0441780883438181</v>
      </c>
      <c r="M157" s="70">
        <f t="shared" ref="M157" si="338">L157*(1+M158)</f>
        <v>3.071575691138912</v>
      </c>
    </row>
    <row r="158" spans="1:14" s="16" customFormat="1" ht="12" x14ac:dyDescent="0.15">
      <c r="A158" s="13" t="s">
        <v>13</v>
      </c>
      <c r="B158" s="14"/>
      <c r="C158" s="14">
        <f t="shared" ref="C158" si="339">(C157/B157)-1</f>
        <v>0.16600165318529259</v>
      </c>
      <c r="D158" s="14">
        <f t="shared" ref="D158" si="340">(D157/C157)-1</f>
        <v>-6.0071127700506044E-2</v>
      </c>
      <c r="E158" s="14">
        <f t="shared" ref="E158" si="341">(E157/D157)-1</f>
        <v>-5.9162966582650856E-2</v>
      </c>
      <c r="F158" s="14">
        <f t="shared" ref="F158" si="342">(F157/E157)-1</f>
        <v>-6.7504480378452469E-2</v>
      </c>
      <c r="G158" s="14">
        <f>(G157/F157)-1</f>
        <v>4.6812285473066373E-2</v>
      </c>
      <c r="H158" s="14">
        <f>(H157/G157)-1</f>
        <v>9.0047910345362414E-2</v>
      </c>
      <c r="I158" s="14">
        <v>-2.3400000000000001E-2</v>
      </c>
      <c r="J158" s="14">
        <v>1.34E-2</v>
      </c>
      <c r="K158" s="14">
        <v>9.7999999999999997E-3</v>
      </c>
      <c r="L158" s="14">
        <v>-1.23E-2</v>
      </c>
      <c r="M158" s="14">
        <v>8.9999999999999993E-3</v>
      </c>
    </row>
    <row r="159" spans="1:14" s="12" customFormat="1" ht="12" x14ac:dyDescent="0.15">
      <c r="A159" s="10" t="s">
        <v>55</v>
      </c>
      <c r="B159" s="6">
        <v>87.6</v>
      </c>
      <c r="C159" s="6">
        <v>63.7</v>
      </c>
      <c r="D159" s="6">
        <v>80.7</v>
      </c>
      <c r="E159" s="6">
        <v>104.8</v>
      </c>
      <c r="F159" s="6">
        <v>116.5</v>
      </c>
      <c r="G159" s="6">
        <v>109.7</v>
      </c>
      <c r="H159" s="6">
        <v>118</v>
      </c>
      <c r="I159" s="11">
        <f>I163*I65</f>
        <v>115.5840362050139</v>
      </c>
      <c r="J159" s="11">
        <f>J163*J65</f>
        <v>118.56714487371936</v>
      </c>
      <c r="K159" s="11">
        <f>K163*K65</f>
        <v>126.50078859928772</v>
      </c>
      <c r="L159" s="11">
        <f>L163*L65</f>
        <v>133.8323289122568</v>
      </c>
      <c r="M159" s="11">
        <f>M163*M65</f>
        <v>143.223789483281</v>
      </c>
    </row>
    <row r="160" spans="1:14" s="16" customFormat="1" ht="12" x14ac:dyDescent="0.15">
      <c r="A160" s="13" t="s">
        <v>13</v>
      </c>
      <c r="B160" s="14"/>
      <c r="C160" s="14">
        <f t="shared" ref="C160:F160" si="343">(C159/B159)-1</f>
        <v>-0.27283105022831045</v>
      </c>
      <c r="D160" s="14">
        <f t="shared" si="343"/>
        <v>0.26687598116169542</v>
      </c>
      <c r="E160" s="14">
        <f t="shared" si="343"/>
        <v>0.29863692688971488</v>
      </c>
      <c r="F160" s="14">
        <f t="shared" si="343"/>
        <v>0.11164122137404586</v>
      </c>
      <c r="G160" s="14">
        <f>(G159/F159)-1</f>
        <v>-5.8369098712446332E-2</v>
      </c>
      <c r="H160" s="14">
        <f>(H159/G159)-1</f>
        <v>7.5660893345487645E-2</v>
      </c>
      <c r="I160" s="14">
        <f t="shared" ref="I160:M160" si="344">(I159/H159)-1</f>
        <v>-2.0474269449034743E-2</v>
      </c>
      <c r="J160" s="14">
        <f t="shared" si="344"/>
        <v>2.5809002407687576E-2</v>
      </c>
      <c r="K160" s="14">
        <f t="shared" si="344"/>
        <v>6.6912665680008754E-2</v>
      </c>
      <c r="L160" s="14">
        <f t="shared" si="344"/>
        <v>5.7956479118821624E-2</v>
      </c>
      <c r="M160" s="14">
        <f t="shared" si="344"/>
        <v>7.0173332911074304E-2</v>
      </c>
    </row>
    <row r="161" spans="1:18" s="16" customFormat="1" ht="12" x14ac:dyDescent="0.15">
      <c r="A161" s="13" t="s">
        <v>48</v>
      </c>
      <c r="B161" s="14">
        <f t="shared" ref="B161:H161" si="345">B159/B199</f>
        <v>2.3226832825135886E-2</v>
      </c>
      <c r="C161" s="14">
        <f t="shared" si="345"/>
        <v>2.6021241830065361E-2</v>
      </c>
      <c r="D161" s="14">
        <f t="shared" si="345"/>
        <v>2.2034731323722155E-2</v>
      </c>
      <c r="E161" s="14">
        <f t="shared" si="345"/>
        <v>2.0164704071423071E-2</v>
      </c>
      <c r="F161" s="14">
        <f t="shared" si="345"/>
        <v>1.8895773185843578E-2</v>
      </c>
      <c r="G161" s="14">
        <f t="shared" si="345"/>
        <v>1.4299307845718682E-2</v>
      </c>
      <c r="H161" s="14">
        <f t="shared" si="345"/>
        <v>1.2159683436038004E-2</v>
      </c>
      <c r="I161" s="14">
        <f t="shared" ref="I161:M161" si="346">I159/I199</f>
        <v>9.6887431508527432E-3</v>
      </c>
      <c r="J161" s="14">
        <f t="shared" si="346"/>
        <v>8.5761814695861187E-3</v>
      </c>
      <c r="K161" s="14">
        <f t="shared" si="346"/>
        <v>8.5036918251033267E-3</v>
      </c>
      <c r="L161" s="14">
        <f t="shared" si="346"/>
        <v>8.3070987717119623E-3</v>
      </c>
      <c r="M161" s="14">
        <f t="shared" si="346"/>
        <v>8.21345657687861E-3</v>
      </c>
    </row>
    <row r="162" spans="1:18" s="16" customFormat="1" ht="24" x14ac:dyDescent="0.15">
      <c r="A162" s="13" t="s">
        <v>36</v>
      </c>
      <c r="B162" s="14">
        <f t="shared" ref="B162:H162" si="347">B159/B203</f>
        <v>6.1176602044806976E-3</v>
      </c>
      <c r="C162" s="14">
        <f t="shared" si="347"/>
        <v>6.5848641161086246E-3</v>
      </c>
      <c r="D162" s="14">
        <f t="shared" si="347"/>
        <v>5.1577359648225796E-3</v>
      </c>
      <c r="E162" s="14">
        <f t="shared" si="347"/>
        <v>4.6507706167152607E-3</v>
      </c>
      <c r="F162" s="14">
        <f t="shared" si="347"/>
        <v>4.5806989399515578E-3</v>
      </c>
      <c r="G162" s="14">
        <f t="shared" si="347"/>
        <v>4.0960499441787179E-3</v>
      </c>
      <c r="H162" s="14">
        <f t="shared" si="347"/>
        <v>3.6278557835092433E-3</v>
      </c>
      <c r="I162" s="14">
        <f t="shared" ref="I162:M162" si="348">I159/I203</f>
        <v>3.2911331716300013E-3</v>
      </c>
      <c r="J162" s="14">
        <f t="shared" si="348"/>
        <v>3.0454080578343648E-3</v>
      </c>
      <c r="K162" s="14">
        <f t="shared" si="348"/>
        <v>2.9589640333303321E-3</v>
      </c>
      <c r="L162" s="14">
        <f t="shared" si="348"/>
        <v>2.845863841421607E-3</v>
      </c>
      <c r="M162" s="14">
        <f t="shared" si="348"/>
        <v>2.7687023389088507E-3</v>
      </c>
    </row>
    <row r="163" spans="1:18" s="31" customFormat="1" ht="12" x14ac:dyDescent="0.15">
      <c r="A163" s="25" t="s">
        <v>37</v>
      </c>
      <c r="B163" s="17">
        <f t="shared" ref="B163:H163" si="349">B159/B65</f>
        <v>1.7195047983213236</v>
      </c>
      <c r="C163" s="17">
        <f t="shared" si="349"/>
        <v>2.1567784974939723</v>
      </c>
      <c r="D163" s="17">
        <f t="shared" si="349"/>
        <v>1.7669159762484454</v>
      </c>
      <c r="E163" s="17">
        <f t="shared" si="349"/>
        <v>1.7680273841798664</v>
      </c>
      <c r="F163" s="17">
        <f t="shared" si="349"/>
        <v>1.7649349095035307</v>
      </c>
      <c r="G163" s="17">
        <f t="shared" si="349"/>
        <v>1.6895221901875259</v>
      </c>
      <c r="H163" s="17">
        <f t="shared" si="349"/>
        <v>1.774305351936474</v>
      </c>
      <c r="I163" s="70">
        <f>H163*(1+I164)</f>
        <v>1.7961293077652927</v>
      </c>
      <c r="J163" s="70">
        <f t="shared" ref="J163" si="350">I163*(1+J164)</f>
        <v>1.7982846629346112</v>
      </c>
      <c r="K163" s="70">
        <f t="shared" ref="K163" si="351">J163*(1+K164)</f>
        <v>1.8204035642887069</v>
      </c>
      <c r="L163" s="70">
        <f t="shared" ref="L163" si="352">K163*(1+L164)</f>
        <v>1.8182190800115605</v>
      </c>
      <c r="M163" s="70">
        <f t="shared" ref="M163" si="353">L163*(1+M164)</f>
        <v>1.8318557231116472</v>
      </c>
    </row>
    <row r="164" spans="1:18" s="16" customFormat="1" ht="12" x14ac:dyDescent="0.15">
      <c r="A164" s="13" t="s">
        <v>13</v>
      </c>
      <c r="B164" s="14"/>
      <c r="C164" s="14">
        <f t="shared" ref="C164" si="354">(C163/B163)-1</f>
        <v>0.25430211046781581</v>
      </c>
      <c r="D164" s="14">
        <f t="shared" ref="D164" si="355">(D163/C163)-1</f>
        <v>-0.18076150225835441</v>
      </c>
      <c r="E164" s="14">
        <f t="shared" ref="E164" si="356">(E163/D163)-1</f>
        <v>6.2901006406690385E-4</v>
      </c>
      <c r="F164" s="14">
        <f t="shared" ref="F164" si="357">(F163/E163)-1</f>
        <v>-1.7491101687715505E-3</v>
      </c>
      <c r="G164" s="14">
        <f>(G163/F163)-1</f>
        <v>-4.2728328908865021E-2</v>
      </c>
      <c r="H164" s="14">
        <f>(H163/G163)-1</f>
        <v>5.0181739098400069E-2</v>
      </c>
      <c r="I164" s="14">
        <v>1.23E-2</v>
      </c>
      <c r="J164" s="14">
        <v>1.1999999999999999E-3</v>
      </c>
      <c r="K164" s="14">
        <v>1.23E-2</v>
      </c>
      <c r="L164" s="14">
        <v>-1.1999999999999999E-3</v>
      </c>
      <c r="M164" s="14">
        <v>7.4999999999999997E-3</v>
      </c>
    </row>
    <row r="165" spans="1:18" s="12" customFormat="1" ht="12" x14ac:dyDescent="0.15">
      <c r="A165" s="10" t="s">
        <v>56</v>
      </c>
      <c r="B165" s="6">
        <v>65.8</v>
      </c>
      <c r="C165" s="6">
        <v>78.7</v>
      </c>
      <c r="D165" s="6">
        <v>118.7</v>
      </c>
      <c r="E165" s="6">
        <v>155.30000000000001</v>
      </c>
      <c r="F165" s="6">
        <v>206.1</v>
      </c>
      <c r="G165" s="6">
        <v>189.5</v>
      </c>
      <c r="H165" s="6">
        <v>224.8</v>
      </c>
      <c r="I165" s="11">
        <f>I169*I65</f>
        <v>229.33330256982083</v>
      </c>
      <c r="J165" s="11">
        <f>J169*J65</f>
        <v>250.33725330189773</v>
      </c>
      <c r="K165" s="11">
        <f>K169*K65</f>
        <v>278.09022769560761</v>
      </c>
      <c r="L165" s="11">
        <f>L169*L65</f>
        <v>309.55397747402822</v>
      </c>
      <c r="M165" s="11">
        <f>M169*M65</f>
        <v>345.4152561633926</v>
      </c>
    </row>
    <row r="166" spans="1:18" s="16" customFormat="1" ht="12" x14ac:dyDescent="0.15">
      <c r="A166" s="13" t="s">
        <v>13</v>
      </c>
      <c r="B166" s="14"/>
      <c r="C166" s="14">
        <f t="shared" ref="C166:F166" si="358">(C165/B165)-1</f>
        <v>0.19604863221884505</v>
      </c>
      <c r="D166" s="14">
        <f t="shared" si="358"/>
        <v>0.50825921219822101</v>
      </c>
      <c r="E166" s="14">
        <f t="shared" si="358"/>
        <v>0.30834035383319303</v>
      </c>
      <c r="F166" s="14">
        <f t="shared" si="358"/>
        <v>0.327108821635544</v>
      </c>
      <c r="G166" s="14">
        <f>(G165/F165)-1</f>
        <v>-8.0543425521591439E-2</v>
      </c>
      <c r="H166" s="14">
        <f>(H165/G165)-1</f>
        <v>0.18627968337730882</v>
      </c>
      <c r="I166" s="14">
        <f t="shared" ref="I166:M166" si="359">(I165/H165)-1</f>
        <v>2.0165936698491205E-2</v>
      </c>
      <c r="J166" s="14">
        <f t="shared" si="359"/>
        <v>9.15870067570419E-2</v>
      </c>
      <c r="K166" s="14">
        <f t="shared" si="359"/>
        <v>0.11086234281016405</v>
      </c>
      <c r="L166" s="14">
        <f t="shared" si="359"/>
        <v>0.11314223458747441</v>
      </c>
      <c r="M166" s="14">
        <f t="shared" si="359"/>
        <v>0.11584822453904065</v>
      </c>
    </row>
    <row r="167" spans="1:18" s="16" customFormat="1" ht="12" x14ac:dyDescent="0.15">
      <c r="A167" s="13" t="s">
        <v>48</v>
      </c>
      <c r="B167" s="14">
        <f t="shared" ref="B167:H167" si="360">B165/B199</f>
        <v>1.7446639268195677E-2</v>
      </c>
      <c r="C167" s="14">
        <f t="shared" si="360"/>
        <v>3.214869281045752E-2</v>
      </c>
      <c r="D167" s="14">
        <f t="shared" si="360"/>
        <v>3.241044124071648E-2</v>
      </c>
      <c r="E167" s="14">
        <f t="shared" si="360"/>
        <v>2.9881474640190871E-2</v>
      </c>
      <c r="F167" s="14">
        <f t="shared" si="360"/>
        <v>3.3428488013754171E-2</v>
      </c>
      <c r="G167" s="14">
        <f t="shared" si="360"/>
        <v>2.4701174446341751E-2</v>
      </c>
      <c r="H167" s="14">
        <f t="shared" si="360"/>
        <v>2.3165227427299519E-2</v>
      </c>
      <c r="I167" s="14">
        <f t="shared" ref="I167:M167" si="361">I165/I199</f>
        <v>1.9223688127611913E-2</v>
      </c>
      <c r="J167" s="14">
        <f t="shared" si="361"/>
        <v>1.8107357777750577E-2</v>
      </c>
      <c r="K167" s="14">
        <f t="shared" si="361"/>
        <v>1.8693903983374668E-2</v>
      </c>
      <c r="L167" s="14">
        <f t="shared" si="361"/>
        <v>1.9214307088229608E-2</v>
      </c>
      <c r="M167" s="14">
        <f t="shared" si="361"/>
        <v>1.9808533329029154E-2</v>
      </c>
    </row>
    <row r="168" spans="1:18" s="16" customFormat="1" ht="24" x14ac:dyDescent="0.15">
      <c r="A168" s="13" t="s">
        <v>36</v>
      </c>
      <c r="B168" s="14">
        <f t="shared" ref="B168:H168" si="362">B165/B203</f>
        <v>4.595228783730935E-3</v>
      </c>
      <c r="C168" s="14">
        <f t="shared" si="362"/>
        <v>8.135460061817092E-3</v>
      </c>
      <c r="D168" s="14">
        <f t="shared" si="362"/>
        <v>7.5864096533387873E-3</v>
      </c>
      <c r="E168" s="14">
        <f t="shared" si="362"/>
        <v>6.8918385188538166E-3</v>
      </c>
      <c r="F168" s="14">
        <f t="shared" si="362"/>
        <v>8.1037085967726689E-3</v>
      </c>
      <c r="G168" s="14">
        <f t="shared" si="362"/>
        <v>7.0756742426788238E-3</v>
      </c>
      <c r="H168" s="14">
        <f t="shared" si="362"/>
        <v>6.9113727129904903E-3</v>
      </c>
      <c r="I168" s="14">
        <f t="shared" ref="I168:M168" si="363">I165/I203</f>
        <v>6.5300232127925659E-3</v>
      </c>
      <c r="J168" s="14">
        <f t="shared" si="363"/>
        <v>6.4299354529764397E-3</v>
      </c>
      <c r="K168" s="14">
        <f t="shared" si="363"/>
        <v>6.5047735344835531E-3</v>
      </c>
      <c r="L168" s="14">
        <f t="shared" si="363"/>
        <v>6.582478827213291E-3</v>
      </c>
      <c r="M168" s="14">
        <f t="shared" si="363"/>
        <v>6.6773266584042104E-3</v>
      </c>
    </row>
    <row r="169" spans="1:18" s="31" customFormat="1" ht="12" x14ac:dyDescent="0.15">
      <c r="A169" s="25" t="s">
        <v>37</v>
      </c>
      <c r="B169" s="17">
        <f t="shared" ref="B169:H169" si="364">B165/B65</f>
        <v>1.2915915037619075</v>
      </c>
      <c r="C169" s="17">
        <f t="shared" si="364"/>
        <v>2.664654124847341</v>
      </c>
      <c r="D169" s="17">
        <f t="shared" si="364"/>
        <v>2.5989210208264</v>
      </c>
      <c r="E169" s="17">
        <f t="shared" si="364"/>
        <v>2.619987144686386</v>
      </c>
      <c r="F169" s="17">
        <f t="shared" si="364"/>
        <v>3.1223440759543148</v>
      </c>
      <c r="G169" s="17">
        <f t="shared" si="364"/>
        <v>2.918545624799783</v>
      </c>
      <c r="H169" s="17">
        <f t="shared" si="364"/>
        <v>3.3802020602993168</v>
      </c>
      <c r="I169" s="70">
        <f>H169*(1+I170)</f>
        <v>3.5637470321735698</v>
      </c>
      <c r="J169" s="70">
        <f t="shared" ref="J169" si="365">I169*(1+J170)</f>
        <v>3.7968160880777209</v>
      </c>
      <c r="K169" s="70">
        <f t="shared" ref="K169" si="366">J169*(1+K170)</f>
        <v>4.0018441568339176</v>
      </c>
      <c r="L169" s="70">
        <f t="shared" ref="L169" si="367">K169*(1+L170)</f>
        <v>4.2055380244167635</v>
      </c>
      <c r="M169" s="70">
        <f t="shared" ref="M169" si="368">L169*(1+M170)</f>
        <v>4.4179176946498098</v>
      </c>
    </row>
    <row r="170" spans="1:18" s="16" customFormat="1" ht="12" x14ac:dyDescent="0.15">
      <c r="A170" s="13" t="s">
        <v>13</v>
      </c>
      <c r="B170" s="14"/>
      <c r="C170" s="14">
        <f t="shared" ref="C170" si="369">(C169/B169)-1</f>
        <v>1.063078083965582</v>
      </c>
      <c r="D170" s="14">
        <f t="shared" ref="D170" si="370">(D169/C169)-1</f>
        <v>-2.4668531427022189E-2</v>
      </c>
      <c r="E170" s="14">
        <f t="shared" ref="E170" si="371">(E169/D169)-1</f>
        <v>8.1057191392785999E-3</v>
      </c>
      <c r="F170" s="14">
        <f t="shared" ref="F170" si="372">(F169/E169)-1</f>
        <v>0.19174022753766651</v>
      </c>
      <c r="G170" s="14">
        <f>(G169/F169)-1</f>
        <v>-6.5270977892544657E-2</v>
      </c>
      <c r="H170" s="14">
        <f>(H169/G169)-1</f>
        <v>0.15818030445599218</v>
      </c>
      <c r="I170" s="14">
        <v>5.4300000000000001E-2</v>
      </c>
      <c r="J170" s="14">
        <v>6.54E-2</v>
      </c>
      <c r="K170" s="14">
        <v>5.3999999999999999E-2</v>
      </c>
      <c r="L170" s="14">
        <v>5.0900000000000001E-2</v>
      </c>
      <c r="M170" s="14">
        <v>5.0500000000000003E-2</v>
      </c>
    </row>
    <row r="171" spans="1:18" s="22" customFormat="1" ht="12" x14ac:dyDescent="0.15">
      <c r="A171" s="19" t="s">
        <v>57</v>
      </c>
      <c r="B171" s="20">
        <f>SUM(B117+B123+B129+B135+B141+B147+B153+B159+B165)</f>
        <v>2534.4</v>
      </c>
      <c r="C171" s="20">
        <f t="shared" ref="C171:M171" si="373">SUM(C117+C123+C129+C135+C141+C147+C153+C159+C165)</f>
        <v>1704.1</v>
      </c>
      <c r="D171" s="20">
        <f t="shared" si="373"/>
        <v>2629.7999999999993</v>
      </c>
      <c r="E171" s="20">
        <f t="shared" si="373"/>
        <v>3621.4000000000005</v>
      </c>
      <c r="F171" s="20">
        <f t="shared" si="373"/>
        <v>4148.8</v>
      </c>
      <c r="G171" s="20">
        <f t="shared" si="373"/>
        <v>4550.8999999999996</v>
      </c>
      <c r="H171" s="20">
        <f t="shared" si="373"/>
        <v>4926.7000000000007</v>
      </c>
      <c r="I171" s="20">
        <f t="shared" si="373"/>
        <v>4739.5067353287068</v>
      </c>
      <c r="J171" s="20">
        <f t="shared" si="373"/>
        <v>5084.9277471590958</v>
      </c>
      <c r="K171" s="20">
        <f t="shared" si="373"/>
        <v>5563.740814183735</v>
      </c>
      <c r="L171" s="20">
        <f t="shared" si="373"/>
        <v>6188.6022752391455</v>
      </c>
      <c r="M171" s="20">
        <f t="shared" si="373"/>
        <v>6885.0167125375674</v>
      </c>
      <c r="O171" s="29">
        <f>(H171/B171)^(1/6)-1</f>
        <v>0.11715515268580146</v>
      </c>
      <c r="P171" s="29">
        <f>(H171/E171)^(1/3)-1</f>
        <v>0.10805131501323051</v>
      </c>
      <c r="Q171" s="29">
        <f>(M171/H171)^(1/5)-1</f>
        <v>6.9226653439499186E-2</v>
      </c>
      <c r="R171" s="29">
        <f>(M171/I171)^(1/4)-1</f>
        <v>9.7849892030128283E-2</v>
      </c>
    </row>
    <row r="172" spans="1:18" s="16" customFormat="1" ht="12" x14ac:dyDescent="0.15">
      <c r="A172" s="13" t="s">
        <v>13</v>
      </c>
      <c r="B172" s="14"/>
      <c r="C172" s="14">
        <f t="shared" ref="C172:F172" si="374">(C171/B171)-1</f>
        <v>-0.32761205808080818</v>
      </c>
      <c r="D172" s="14">
        <f t="shared" si="374"/>
        <v>0.54321929464233287</v>
      </c>
      <c r="E172" s="14">
        <f t="shared" si="374"/>
        <v>0.37706289451669384</v>
      </c>
      <c r="F172" s="14">
        <f t="shared" si="374"/>
        <v>0.14563428508311693</v>
      </c>
      <c r="G172" s="14">
        <f>(G171/F171)-1</f>
        <v>9.6919591207095923E-2</v>
      </c>
      <c r="H172" s="14">
        <f>(H171/G171)-1</f>
        <v>8.257707266694525E-2</v>
      </c>
      <c r="I172" s="14">
        <f t="shared" ref="I172:M172" si="375">(I171/H171)-1</f>
        <v>-3.799566944837196E-2</v>
      </c>
      <c r="J172" s="14">
        <f t="shared" si="375"/>
        <v>7.2881215518819653E-2</v>
      </c>
      <c r="K172" s="14">
        <f t="shared" si="375"/>
        <v>9.4163199721401636E-2</v>
      </c>
      <c r="L172" s="14">
        <f t="shared" si="375"/>
        <v>0.11230959203966528</v>
      </c>
      <c r="M172" s="14">
        <f t="shared" si="375"/>
        <v>0.11253178122058438</v>
      </c>
    </row>
    <row r="173" spans="1:18" s="16" customFormat="1" ht="12" x14ac:dyDescent="0.15">
      <c r="A173" s="13" t="s">
        <v>48</v>
      </c>
      <c r="B173" s="14">
        <f t="shared" ref="B173:H173" si="376">B171/B199</f>
        <v>0.67198727296831506</v>
      </c>
      <c r="C173" s="14">
        <f t="shared" si="376"/>
        <v>0.6961192810457516</v>
      </c>
      <c r="D173" s="14">
        <f t="shared" si="376"/>
        <v>0.71805373525557004</v>
      </c>
      <c r="E173" s="14">
        <f t="shared" si="376"/>
        <v>0.6967982759947664</v>
      </c>
      <c r="F173" s="14">
        <f t="shared" si="376"/>
        <v>0.6729165990852175</v>
      </c>
      <c r="G173" s="14">
        <f t="shared" si="376"/>
        <v>0.59320619940821462</v>
      </c>
      <c r="H173" s="14">
        <f t="shared" si="376"/>
        <v>0.50768739308752919</v>
      </c>
      <c r="I173" s="14">
        <f t="shared" ref="I173:M173" si="377">I171/I199</f>
        <v>0.39728551561296405</v>
      </c>
      <c r="J173" s="14">
        <f t="shared" si="377"/>
        <v>0.36780225386903287</v>
      </c>
      <c r="K173" s="14">
        <f t="shared" si="377"/>
        <v>0.37400823980977427</v>
      </c>
      <c r="L173" s="14">
        <f t="shared" si="377"/>
        <v>0.38413237501798209</v>
      </c>
      <c r="M173" s="14">
        <f t="shared" si="377"/>
        <v>0.39483514577801393</v>
      </c>
    </row>
    <row r="174" spans="1:18" s="16" customFormat="1" ht="24" x14ac:dyDescent="0.15">
      <c r="A174" s="13" t="s">
        <v>36</v>
      </c>
      <c r="B174" s="14">
        <f t="shared" ref="B174:H174" si="378">B171/B203</f>
        <v>0.17699312810771553</v>
      </c>
      <c r="C174" s="14">
        <f t="shared" si="378"/>
        <v>0.17615803673878658</v>
      </c>
      <c r="D174" s="14">
        <f t="shared" si="378"/>
        <v>0.16807700173841902</v>
      </c>
      <c r="E174" s="14">
        <f t="shared" si="378"/>
        <v>0.16070897625355579</v>
      </c>
      <c r="F174" s="14">
        <f t="shared" si="378"/>
        <v>0.16312792928816328</v>
      </c>
      <c r="G174" s="14">
        <f t="shared" si="378"/>
        <v>0.16992446391032748</v>
      </c>
      <c r="H174" s="14">
        <f t="shared" si="378"/>
        <v>0.15146912786961855</v>
      </c>
      <c r="I174" s="14">
        <f t="shared" ref="I174:M174" si="379">I171/I203</f>
        <v>0.13495244106320178</v>
      </c>
      <c r="J174" s="14">
        <f t="shared" si="379"/>
        <v>0.13060683843907156</v>
      </c>
      <c r="K174" s="14">
        <f t="shared" si="379"/>
        <v>0.13014076151011747</v>
      </c>
      <c r="L174" s="14">
        <f t="shared" si="379"/>
        <v>0.13159689880005979</v>
      </c>
      <c r="M174" s="14">
        <f t="shared" si="379"/>
        <v>0.13309633786539718</v>
      </c>
    </row>
    <row r="175" spans="1:18" s="31" customFormat="1" ht="12" x14ac:dyDescent="0.15">
      <c r="A175" s="25" t="s">
        <v>37</v>
      </c>
      <c r="B175" s="17">
        <f t="shared" ref="B175:M175" si="380">B171/B65</f>
        <v>49.747864850063507</v>
      </c>
      <c r="C175" s="17">
        <f t="shared" si="380"/>
        <v>57.698057104858364</v>
      </c>
      <c r="D175" s="17">
        <f t="shared" si="380"/>
        <v>57.579128058713266</v>
      </c>
      <c r="E175" s="17">
        <f t="shared" si="380"/>
        <v>61.094793597986346</v>
      </c>
      <c r="F175" s="17">
        <f t="shared" si="380"/>
        <v>62.852892296551488</v>
      </c>
      <c r="G175" s="17">
        <f t="shared" si="380"/>
        <v>70.089758754096735</v>
      </c>
      <c r="H175" s="17">
        <f t="shared" si="380"/>
        <v>74.080255740554477</v>
      </c>
      <c r="I175" s="17">
        <f t="shared" si="380"/>
        <v>73.650023231370938</v>
      </c>
      <c r="J175" s="17">
        <f t="shared" si="380"/>
        <v>77.122103172728629</v>
      </c>
      <c r="K175" s="17">
        <f t="shared" si="380"/>
        <v>80.064746797757522</v>
      </c>
      <c r="L175" s="17">
        <f t="shared" si="380"/>
        <v>84.077104739169286</v>
      </c>
      <c r="M175" s="17">
        <f t="shared" si="380"/>
        <v>88.060491305835512</v>
      </c>
    </row>
    <row r="176" spans="1:18" s="12" customFormat="1" x14ac:dyDescent="0.15">
      <c r="A176" s="10"/>
      <c r="B176" s="6"/>
      <c r="C176" s="6"/>
      <c r="D176" s="6"/>
      <c r="E176" s="6"/>
      <c r="F176" s="6"/>
      <c r="G176" s="6"/>
      <c r="H176" s="6"/>
      <c r="I176" s="11"/>
      <c r="J176" s="11"/>
      <c r="K176" s="11"/>
      <c r="L176" s="11"/>
      <c r="M176" s="11"/>
    </row>
    <row r="177" spans="1:18" s="12" customFormat="1" ht="12" x14ac:dyDescent="0.15">
      <c r="A177" s="10" t="s">
        <v>58</v>
      </c>
      <c r="B177" s="6">
        <v>0</v>
      </c>
      <c r="C177" s="6">
        <v>0</v>
      </c>
      <c r="D177" s="6">
        <v>0</v>
      </c>
      <c r="E177" s="6">
        <v>0</v>
      </c>
      <c r="F177" s="6">
        <v>0</v>
      </c>
      <c r="G177" s="6">
        <v>837.1</v>
      </c>
      <c r="H177" s="6">
        <v>2016.9</v>
      </c>
      <c r="I177" s="11">
        <f>H177*(1+I178)</f>
        <v>2328.1076700000003</v>
      </c>
      <c r="J177" s="11">
        <f t="shared" ref="J177:M177" si="381">I177*(1+J178)</f>
        <v>2480.3659116180002</v>
      </c>
      <c r="K177" s="11">
        <f t="shared" si="381"/>
        <v>2606.616536519356</v>
      </c>
      <c r="L177" s="11">
        <f t="shared" si="381"/>
        <v>2718.7010475896882</v>
      </c>
      <c r="M177" s="11">
        <f t="shared" si="381"/>
        <v>2811.9524935220143</v>
      </c>
      <c r="O177" s="29"/>
      <c r="P177" s="29"/>
      <c r="Q177" s="29">
        <f>(M177/H177)^(1/5)-1</f>
        <v>6.8721933733471241E-2</v>
      </c>
      <c r="R177" s="29">
        <f>(M177/I177)^(1/4)-1</f>
        <v>4.8337761207383201E-2</v>
      </c>
    </row>
    <row r="178" spans="1:18" s="16" customFormat="1" ht="12" x14ac:dyDescent="0.15">
      <c r="A178" s="13" t="s">
        <v>13</v>
      </c>
      <c r="B178" s="14"/>
      <c r="C178" s="14"/>
      <c r="D178" s="14"/>
      <c r="E178" s="14"/>
      <c r="F178" s="14"/>
      <c r="G178" s="14"/>
      <c r="H178" s="14">
        <f>(H177/G177)-1</f>
        <v>1.4093895591924501</v>
      </c>
      <c r="I178" s="15">
        <v>0.15429999999999999</v>
      </c>
      <c r="J178" s="15">
        <v>6.54E-2</v>
      </c>
      <c r="K178" s="15">
        <v>5.0900000000000001E-2</v>
      </c>
      <c r="L178" s="15">
        <v>4.2999999999999997E-2</v>
      </c>
      <c r="M178" s="15">
        <v>3.4299999999999997E-2</v>
      </c>
    </row>
    <row r="179" spans="1:18" s="16" customFormat="1" ht="12" x14ac:dyDescent="0.15">
      <c r="A179" s="13" t="s">
        <v>48</v>
      </c>
      <c r="B179" s="14">
        <f t="shared" ref="B179:H179" si="382">B177/B199</f>
        <v>0</v>
      </c>
      <c r="C179" s="14">
        <f t="shared" si="382"/>
        <v>0</v>
      </c>
      <c r="D179" s="14">
        <f t="shared" si="382"/>
        <v>0</v>
      </c>
      <c r="E179" s="14">
        <f t="shared" si="382"/>
        <v>0</v>
      </c>
      <c r="F179" s="14">
        <f t="shared" si="382"/>
        <v>0</v>
      </c>
      <c r="G179" s="14">
        <f t="shared" si="382"/>
        <v>0.10911531994212496</v>
      </c>
      <c r="H179" s="14">
        <f t="shared" si="382"/>
        <v>0.2078378434080089</v>
      </c>
      <c r="I179" s="14">
        <f t="shared" ref="I179:M179" si="383">I177/I199</f>
        <v>0.19515183915321491</v>
      </c>
      <c r="J179" s="14">
        <f t="shared" si="383"/>
        <v>0.17940946618616241</v>
      </c>
      <c r="K179" s="14">
        <f t="shared" si="383"/>
        <v>0.17522312689285169</v>
      </c>
      <c r="L179" s="14">
        <f t="shared" si="383"/>
        <v>0.16875233597624376</v>
      </c>
      <c r="M179" s="14">
        <f t="shared" si="383"/>
        <v>0.16125707736901246</v>
      </c>
    </row>
    <row r="180" spans="1:18" s="16" customFormat="1" ht="24" x14ac:dyDescent="0.15">
      <c r="A180" s="13" t="s">
        <v>36</v>
      </c>
      <c r="B180" s="14">
        <f t="shared" ref="B180:H180" si="384">B177/B203</f>
        <v>0</v>
      </c>
      <c r="C180" s="14">
        <f t="shared" si="384"/>
        <v>0</v>
      </c>
      <c r="D180" s="14">
        <f t="shared" si="384"/>
        <v>0</v>
      </c>
      <c r="E180" s="14">
        <f t="shared" si="384"/>
        <v>0</v>
      </c>
      <c r="F180" s="14">
        <f t="shared" si="384"/>
        <v>0</v>
      </c>
      <c r="G180" s="14">
        <f t="shared" si="384"/>
        <v>3.12561842139654E-2</v>
      </c>
      <c r="H180" s="14">
        <f t="shared" si="384"/>
        <v>6.2008663811523666E-2</v>
      </c>
      <c r="I180" s="14">
        <f t="shared" ref="I180:M180" si="385">I177/I203</f>
        <v>6.6290403341450893E-2</v>
      </c>
      <c r="J180" s="14">
        <f t="shared" si="385"/>
        <v>6.3708427335956164E-2</v>
      </c>
      <c r="K180" s="14">
        <f t="shared" si="385"/>
        <v>6.097103951404366E-2</v>
      </c>
      <c r="L180" s="14">
        <f t="shared" si="385"/>
        <v>5.7811539781565835E-2</v>
      </c>
      <c r="M180" s="14">
        <f t="shared" si="385"/>
        <v>5.4358703074420457E-2</v>
      </c>
    </row>
    <row r="181" spans="1:18" s="16" customFormat="1" x14ac:dyDescent="0.15">
      <c r="A181" s="13"/>
      <c r="B181" s="14"/>
      <c r="C181" s="14"/>
      <c r="D181" s="14"/>
      <c r="E181" s="14"/>
      <c r="F181" s="14"/>
      <c r="G181" s="14"/>
      <c r="H181" s="14"/>
      <c r="I181" s="15"/>
      <c r="J181" s="15"/>
      <c r="K181" s="15"/>
      <c r="L181" s="15"/>
      <c r="M181" s="15"/>
    </row>
    <row r="182" spans="1:18" s="12" customFormat="1" ht="12" x14ac:dyDescent="0.15">
      <c r="A182" s="10" t="s">
        <v>59</v>
      </c>
      <c r="B182" s="6">
        <f>368.7+273.1+193.7+165.6</f>
        <v>1001.1</v>
      </c>
      <c r="C182" s="6">
        <f>234.5+144.9+88.9+102.1</f>
        <v>570.4</v>
      </c>
      <c r="D182" s="6">
        <f>388.1+53.2+219.5+185.3</f>
        <v>846.09999999999991</v>
      </c>
      <c r="E182" s="6">
        <f>548.9+374+106.6+322.9</f>
        <v>1352.4</v>
      </c>
      <c r="F182" s="6">
        <f>706.9+496.9+432.5+151.7</f>
        <v>1788</v>
      </c>
      <c r="G182" s="6">
        <f>697+569.5+513.7+181.4+83.3</f>
        <v>2044.9</v>
      </c>
      <c r="H182" s="6">
        <f>757.6+660.5+656.5+225.1+177+25.7</f>
        <v>2502.3999999999996</v>
      </c>
      <c r="I182" s="11">
        <f>H182*(1+I183)</f>
        <v>2888.5203199999996</v>
      </c>
      <c r="J182" s="11">
        <f t="shared" ref="J182" si="386">I182*(1+J183)</f>
        <v>3247.5633957759997</v>
      </c>
      <c r="K182" s="11">
        <f t="shared" ref="K182" si="387">J182*(1+K183)</f>
        <v>3612.2647651216448</v>
      </c>
      <c r="L182" s="11">
        <f t="shared" ref="L182" si="388">K182*(1+L183)</f>
        <v>4008.8914363320009</v>
      </c>
      <c r="M182" s="11">
        <f t="shared" ref="M182" si="389">L182*(1+M183)</f>
        <v>4422.6090325614632</v>
      </c>
    </row>
    <row r="183" spans="1:18" s="16" customFormat="1" ht="12" x14ac:dyDescent="0.15">
      <c r="A183" s="13" t="s">
        <v>13</v>
      </c>
      <c r="B183" s="14"/>
      <c r="C183" s="14">
        <f t="shared" ref="C183:F183" si="390">(C182/B182)-1</f>
        <v>-0.43022675057436821</v>
      </c>
      <c r="D183" s="14">
        <f t="shared" si="390"/>
        <v>0.48334502103786803</v>
      </c>
      <c r="E183" s="14">
        <f t="shared" si="390"/>
        <v>0.59839262498522672</v>
      </c>
      <c r="F183" s="14">
        <f t="shared" si="390"/>
        <v>0.32209405501330957</v>
      </c>
      <c r="G183" s="14">
        <f>(G182/F182)-1</f>
        <v>0.14368008948545863</v>
      </c>
      <c r="H183" s="14">
        <f>(H182/G182)-1</f>
        <v>0.22372732162941933</v>
      </c>
      <c r="I183" s="15">
        <v>0.15429999999999999</v>
      </c>
      <c r="J183" s="15">
        <v>0.12429999999999999</v>
      </c>
      <c r="K183" s="15">
        <v>0.1123</v>
      </c>
      <c r="L183" s="15">
        <v>0.10979999999999999</v>
      </c>
      <c r="M183" s="15">
        <v>0.1032</v>
      </c>
    </row>
    <row r="184" spans="1:18" s="16" customFormat="1" ht="12" x14ac:dyDescent="0.15">
      <c r="A184" s="13" t="s">
        <v>48</v>
      </c>
      <c r="B184" s="14">
        <f>B182/B199</f>
        <v>0.26543815458040571</v>
      </c>
      <c r="C184" s="14">
        <f t="shared" ref="C184:H184" si="391">C182/C199</f>
        <v>0.2330065359477124</v>
      </c>
      <c r="D184" s="14">
        <f t="shared" si="391"/>
        <v>0.23102337265181305</v>
      </c>
      <c r="E184" s="14">
        <f t="shared" si="391"/>
        <v>0.2602170399445855</v>
      </c>
      <c r="F184" s="14">
        <f t="shared" si="391"/>
        <v>0.29000551464625163</v>
      </c>
      <c r="G184" s="14">
        <f t="shared" si="391"/>
        <v>0.26655109037110419</v>
      </c>
      <c r="H184" s="14">
        <f t="shared" si="391"/>
        <v>0.2578677273757754</v>
      </c>
      <c r="I184" s="14">
        <f t="shared" ref="I184:M184" si="392">I182/I199</f>
        <v>0.24212799955228562</v>
      </c>
      <c r="J184" s="14">
        <f t="shared" si="392"/>
        <v>0.23490228297074969</v>
      </c>
      <c r="K184" s="14">
        <f t="shared" si="392"/>
        <v>0.24282525582173867</v>
      </c>
      <c r="L184" s="14">
        <f t="shared" si="392"/>
        <v>0.24883566920899811</v>
      </c>
      <c r="M184" s="14">
        <f t="shared" si="392"/>
        <v>0.25362341952064488</v>
      </c>
    </row>
    <row r="185" spans="1:18" s="33" customFormat="1" ht="24" x14ac:dyDescent="0.15">
      <c r="A185" s="13" t="s">
        <v>36</v>
      </c>
      <c r="B185" s="14">
        <f>B182/B203</f>
        <v>6.991312363819209E-2</v>
      </c>
      <c r="C185" s="14">
        <f t="shared" ref="C185:H185" si="393">C182/C203</f>
        <v>5.8963995162140639E-2</v>
      </c>
      <c r="D185" s="14">
        <f t="shared" si="393"/>
        <v>5.4076337048777991E-2</v>
      </c>
      <c r="E185" s="14">
        <f t="shared" si="393"/>
        <v>6.0016242195092738E-2</v>
      </c>
      <c r="F185" s="14">
        <f t="shared" si="393"/>
        <v>7.0302915919599862E-2</v>
      </c>
      <c r="G185" s="14">
        <f t="shared" si="393"/>
        <v>7.6353806115324149E-2</v>
      </c>
      <c r="H185" s="14">
        <f t="shared" si="393"/>
        <v>7.6935138242826509E-2</v>
      </c>
      <c r="I185" s="14">
        <f t="shared" ref="I185:M185" si="394">I182/I203</f>
        <v>8.2247560772297418E-2</v>
      </c>
      <c r="J185" s="14">
        <f t="shared" si="394"/>
        <v>8.3413965515976046E-2</v>
      </c>
      <c r="K185" s="14">
        <f t="shared" si="394"/>
        <v>8.4494030726710995E-2</v>
      </c>
      <c r="L185" s="14">
        <f t="shared" si="394"/>
        <v>8.5246661068879612E-2</v>
      </c>
      <c r="M185" s="14">
        <f t="shared" si="394"/>
        <v>8.5494791170580772E-2</v>
      </c>
    </row>
    <row r="186" spans="1:18" s="31" customFormat="1" ht="12" x14ac:dyDescent="0.15">
      <c r="A186" s="25" t="s">
        <v>37</v>
      </c>
      <c r="B186" s="17">
        <f t="shared" ref="B186:M186" si="395">B182/B65</f>
        <v>19.650642164377594</v>
      </c>
      <c r="C186" s="17">
        <f t="shared" si="395"/>
        <v>19.312817189490765</v>
      </c>
      <c r="D186" s="17">
        <f t="shared" si="395"/>
        <v>18.525249163615978</v>
      </c>
      <c r="E186" s="17">
        <f t="shared" si="395"/>
        <v>22.815651091267668</v>
      </c>
      <c r="F186" s="17">
        <f t="shared" si="395"/>
        <v>27.087584705513414</v>
      </c>
      <c r="G186" s="17">
        <f t="shared" si="395"/>
        <v>31.49411054434341</v>
      </c>
      <c r="H186" s="17">
        <f t="shared" si="395"/>
        <v>37.62730264987993</v>
      </c>
      <c r="I186" s="17">
        <f t="shared" si="395"/>
        <v>44.886440837082702</v>
      </c>
      <c r="J186" s="17">
        <f t="shared" si="395"/>
        <v>49.255157933943657</v>
      </c>
      <c r="K186" s="17">
        <f t="shared" si="395"/>
        <v>51.982123798546638</v>
      </c>
      <c r="L186" s="17">
        <f t="shared" si="395"/>
        <v>54.463992059890394</v>
      </c>
      <c r="M186" s="17">
        <f t="shared" si="395"/>
        <v>56.565893812834133</v>
      </c>
    </row>
    <row r="187" spans="1:18" s="12" customFormat="1" x14ac:dyDescent="0.15">
      <c r="A187" s="10"/>
      <c r="B187" s="6"/>
      <c r="C187" s="6"/>
      <c r="D187" s="6"/>
      <c r="E187" s="6"/>
      <c r="F187" s="6"/>
      <c r="G187" s="6"/>
      <c r="H187" s="6"/>
      <c r="I187" s="11"/>
      <c r="J187" s="11"/>
      <c r="K187" s="11"/>
      <c r="L187" s="11"/>
      <c r="M187" s="11"/>
    </row>
    <row r="188" spans="1:18" s="12" customFormat="1" ht="12" x14ac:dyDescent="0.15">
      <c r="A188" s="10" t="s">
        <v>60</v>
      </c>
      <c r="B188" s="6">
        <v>236</v>
      </c>
      <c r="C188" s="6">
        <v>173.5</v>
      </c>
      <c r="D188" s="6">
        <v>186.5</v>
      </c>
      <c r="E188" s="6">
        <v>223.4</v>
      </c>
      <c r="F188" s="6">
        <v>228.6</v>
      </c>
      <c r="G188" s="6">
        <v>238.8</v>
      </c>
      <c r="H188" s="6">
        <v>258.2</v>
      </c>
      <c r="I188" s="11">
        <f>H188*(1+I189)</f>
        <v>257.08974000000001</v>
      </c>
      <c r="J188" s="11">
        <f t="shared" ref="J188" si="396">I188*(1+J189)</f>
        <v>258.52944254400001</v>
      </c>
      <c r="K188" s="11">
        <f t="shared" ref="K188" si="397">J188*(1+K189)</f>
        <v>255.86658928579681</v>
      </c>
      <c r="L188" s="11">
        <f t="shared" ref="L188" si="398">K188*(1+L189)</f>
        <v>259.01374833401212</v>
      </c>
      <c r="M188" s="11">
        <f t="shared" ref="M188" si="399">L188*(1+M189)</f>
        <v>265.02286729536121</v>
      </c>
    </row>
    <row r="189" spans="1:18" s="16" customFormat="1" ht="12" x14ac:dyDescent="0.15">
      <c r="A189" s="13" t="s">
        <v>13</v>
      </c>
      <c r="B189" s="14"/>
      <c r="C189" s="14">
        <f t="shared" ref="C189:F189" si="400">(C188/B188)-1</f>
        <v>-0.26483050847457623</v>
      </c>
      <c r="D189" s="14">
        <f t="shared" si="400"/>
        <v>7.4927953890489896E-2</v>
      </c>
      <c r="E189" s="14">
        <f t="shared" si="400"/>
        <v>0.19785522788203758</v>
      </c>
      <c r="F189" s="14">
        <f t="shared" si="400"/>
        <v>2.3276633840644489E-2</v>
      </c>
      <c r="G189" s="14">
        <f>(G188/F188)-1</f>
        <v>4.4619422572178546E-2</v>
      </c>
      <c r="H189" s="14">
        <f>(H188/G188)-1</f>
        <v>8.1239530988274522E-2</v>
      </c>
      <c r="I189" s="15">
        <v>-4.3E-3</v>
      </c>
      <c r="J189" s="15">
        <v>5.5999999999999999E-3</v>
      </c>
      <c r="K189" s="15">
        <v>-1.03E-2</v>
      </c>
      <c r="L189" s="15">
        <v>1.23E-2</v>
      </c>
      <c r="M189" s="15">
        <v>2.3199999999999998E-2</v>
      </c>
    </row>
    <row r="190" spans="1:18" s="16" customFormat="1" ht="12" x14ac:dyDescent="0.15">
      <c r="A190" s="13" t="s">
        <v>48</v>
      </c>
      <c r="B190" s="14">
        <f>B188/B199</f>
        <v>6.2574572451279328E-2</v>
      </c>
      <c r="C190" s="14">
        <f t="shared" ref="C190:H190" si="401">C188/C199</f>
        <v>7.0874183006535946E-2</v>
      </c>
      <c r="D190" s="14">
        <f t="shared" si="401"/>
        <v>5.0922892092616877E-2</v>
      </c>
      <c r="E190" s="14">
        <f t="shared" si="401"/>
        <v>4.2984684060648037E-2</v>
      </c>
      <c r="F190" s="14">
        <f t="shared" si="401"/>
        <v>3.7077886268530827E-2</v>
      </c>
      <c r="G190" s="14">
        <f t="shared" si="401"/>
        <v>3.1127390278556256E-2</v>
      </c>
      <c r="H190" s="14">
        <f t="shared" si="401"/>
        <v>2.6607036128686545E-2</v>
      </c>
      <c r="I190" s="14">
        <f t="shared" ref="I190:M190" si="402">I188/I199</f>
        <v>2.1550350198546373E-2</v>
      </c>
      <c r="J190" s="14">
        <f t="shared" si="402"/>
        <v>1.8699914017915497E-2</v>
      </c>
      <c r="K190" s="14">
        <f t="shared" si="402"/>
        <v>1.7199976756816455E-2</v>
      </c>
      <c r="L190" s="14">
        <f t="shared" si="402"/>
        <v>1.6077227439213516E-2</v>
      </c>
      <c r="M190" s="14">
        <f t="shared" si="402"/>
        <v>1.5198269926131313E-2</v>
      </c>
    </row>
    <row r="191" spans="1:18" s="16" customFormat="1" ht="24" x14ac:dyDescent="0.15">
      <c r="A191" s="13" t="s">
        <v>36</v>
      </c>
      <c r="B191" s="14">
        <f>B188/B203</f>
        <v>1.6481367674171743E-2</v>
      </c>
      <c r="C191" s="14">
        <f t="shared" ref="C191:H191" si="403">C188/C203</f>
        <v>1.7935226438694604E-2</v>
      </c>
      <c r="D191" s="14">
        <f t="shared" si="403"/>
        <v>1.1919674813375601E-2</v>
      </c>
      <c r="E191" s="14">
        <f t="shared" si="403"/>
        <v>9.9139518680743249E-3</v>
      </c>
      <c r="F191" s="14">
        <f t="shared" si="403"/>
        <v>8.9883929413985073E-3</v>
      </c>
      <c r="G191" s="14">
        <f t="shared" si="403"/>
        <v>8.9164697052860325E-3</v>
      </c>
      <c r="H191" s="14">
        <f t="shared" si="403"/>
        <v>7.9382403669668346E-3</v>
      </c>
      <c r="I191" s="14">
        <f t="shared" ref="I191:M191" si="404">I188/I203</f>
        <v>7.3203584091747513E-3</v>
      </c>
      <c r="J191" s="14">
        <f t="shared" si="404"/>
        <v>6.6403525896610912E-3</v>
      </c>
      <c r="K191" s="14">
        <f t="shared" si="404"/>
        <v>5.9849432039970688E-3</v>
      </c>
      <c r="L191" s="14">
        <f t="shared" si="404"/>
        <v>5.5077713046308161E-3</v>
      </c>
      <c r="M191" s="14">
        <f t="shared" si="404"/>
        <v>5.1232371046197739E-3</v>
      </c>
    </row>
    <row r="192" spans="1:18" s="16" customFormat="1" x14ac:dyDescent="0.15">
      <c r="A192" s="13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8" s="12" customFormat="1" ht="12" x14ac:dyDescent="0.15">
      <c r="A193" s="10" t="s">
        <v>160</v>
      </c>
      <c r="B193" s="6">
        <v>0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11">
        <v>1716.5</v>
      </c>
      <c r="J193" s="11">
        <f t="shared" ref="J193" si="405">I193*(1+J194)</f>
        <v>2753.7809499999998</v>
      </c>
      <c r="K193" s="11">
        <f t="shared" ref="K193" si="406">J193*(1+K194)</f>
        <v>2837.4958908799999</v>
      </c>
      <c r="L193" s="11">
        <f t="shared" ref="L193" si="407">K193*(1+L194)</f>
        <v>2935.3894991153597</v>
      </c>
      <c r="M193" s="11">
        <f t="shared" ref="M193" si="408">L193*(1+M194)</f>
        <v>3053.0986180298855</v>
      </c>
      <c r="N193" s="29"/>
    </row>
    <row r="194" spans="1:18" s="16" customFormat="1" ht="12" x14ac:dyDescent="0.15">
      <c r="A194" s="13" t="s">
        <v>13</v>
      </c>
      <c r="B194" s="14"/>
      <c r="C194" s="14"/>
      <c r="D194" s="14"/>
      <c r="E194" s="14"/>
      <c r="F194" s="14"/>
      <c r="G194" s="14"/>
      <c r="H194" s="14"/>
      <c r="I194" s="15"/>
      <c r="J194" s="15">
        <v>0.60429999999999995</v>
      </c>
      <c r="K194" s="15">
        <v>3.04E-2</v>
      </c>
      <c r="L194" s="15">
        <v>3.4500000000000003E-2</v>
      </c>
      <c r="M194" s="15">
        <v>4.0099999999999997E-2</v>
      </c>
    </row>
    <row r="195" spans="1:18" s="16" customFormat="1" ht="12" x14ac:dyDescent="0.15">
      <c r="A195" s="13" t="s">
        <v>48</v>
      </c>
      <c r="B195" s="14"/>
      <c r="C195" s="14"/>
      <c r="D195" s="14"/>
      <c r="E195" s="14"/>
      <c r="F195" s="14"/>
      <c r="G195" s="14"/>
      <c r="H195" s="14"/>
      <c r="I195" s="14">
        <f>I193/I199</f>
        <v>0.14388429548298914</v>
      </c>
      <c r="J195" s="14">
        <f t="shared" ref="J195:M195" si="409">J193/J199</f>
        <v>0.19918608295613935</v>
      </c>
      <c r="K195" s="14">
        <f t="shared" si="409"/>
        <v>0.19074340071881893</v>
      </c>
      <c r="L195" s="14">
        <f t="shared" si="409"/>
        <v>0.18220239235756269</v>
      </c>
      <c r="M195" s="14">
        <f t="shared" si="409"/>
        <v>0.17508608740619747</v>
      </c>
    </row>
    <row r="196" spans="1:18" s="16" customFormat="1" ht="24" x14ac:dyDescent="0.15">
      <c r="A196" s="13" t="s">
        <v>36</v>
      </c>
      <c r="B196" s="14"/>
      <c r="C196" s="14"/>
      <c r="D196" s="14"/>
      <c r="E196" s="14"/>
      <c r="F196" s="14"/>
      <c r="G196" s="14"/>
      <c r="H196" s="14"/>
      <c r="I196" s="14">
        <f>I193/I203</f>
        <v>4.8875521867766725E-2</v>
      </c>
      <c r="J196" s="14">
        <f t="shared" ref="J196:M196" si="410">J193/J203</f>
        <v>7.0731117828406367E-2</v>
      </c>
      <c r="K196" s="14">
        <f t="shared" si="410"/>
        <v>6.6371509449102389E-2</v>
      </c>
      <c r="L196" s="14">
        <f t="shared" si="410"/>
        <v>6.2419289150216856E-2</v>
      </c>
      <c r="M196" s="14">
        <f t="shared" si="410"/>
        <v>5.902037165163463E-2</v>
      </c>
    </row>
    <row r="197" spans="1:18" s="16" customFormat="1" x14ac:dyDescent="0.15">
      <c r="A197" s="13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8" s="16" customFormat="1" x14ac:dyDescent="0.15">
      <c r="A198" s="13"/>
      <c r="B198" s="17">
        <f>B199-B193</f>
        <v>3771.5</v>
      </c>
      <c r="C198" s="17">
        <f t="shared" ref="C198:M198" si="411">C199-C193</f>
        <v>2448</v>
      </c>
      <c r="D198" s="17">
        <f t="shared" si="411"/>
        <v>3662.3999999999992</v>
      </c>
      <c r="E198" s="17">
        <f t="shared" si="411"/>
        <v>5197.2000000000007</v>
      </c>
      <c r="F198" s="17">
        <f t="shared" si="411"/>
        <v>6165.4000000000005</v>
      </c>
      <c r="G198" s="17">
        <f t="shared" si="411"/>
        <v>7671.7</v>
      </c>
      <c r="H198" s="17">
        <f t="shared" si="411"/>
        <v>9704.2000000000007</v>
      </c>
      <c r="I198" s="17">
        <f t="shared" si="411"/>
        <v>10213.224465328705</v>
      </c>
      <c r="J198" s="17">
        <f t="shared" si="411"/>
        <v>11071.386497097097</v>
      </c>
      <c r="K198" s="17">
        <f t="shared" si="411"/>
        <v>12038.488705110532</v>
      </c>
      <c r="L198" s="17">
        <f t="shared" si="411"/>
        <v>13175.208507494845</v>
      </c>
      <c r="M198" s="17">
        <f t="shared" si="411"/>
        <v>14384.601105916405</v>
      </c>
      <c r="O198" s="29">
        <f>(H198/B198)^(1/6)-1</f>
        <v>0.17059753275348921</v>
      </c>
      <c r="P198" s="29">
        <f>(H198/E198)^(1/3)-1</f>
        <v>0.23139325275744849</v>
      </c>
      <c r="Q198" s="29">
        <f>(M198/H198)^(1/5)-1</f>
        <v>8.1901235900884384E-2</v>
      </c>
      <c r="R198" s="29">
        <f>(M198/I198)^(1/4)-1</f>
        <v>8.9390883431951007E-2</v>
      </c>
    </row>
    <row r="199" spans="1:18" s="22" customFormat="1" ht="12" x14ac:dyDescent="0.15">
      <c r="A199" s="19" t="s">
        <v>61</v>
      </c>
      <c r="B199" s="20">
        <f>SUM(B117+B123+B129+B135+B141+B147+B153+B159+B165+B177+B182+B188+B193)</f>
        <v>3771.5</v>
      </c>
      <c r="C199" s="20">
        <f t="shared" ref="C199:M199" si="412">SUM(C117+C123+C129+C135+C141+C147+C153+C159+C165+C177+C182+C188+C193)</f>
        <v>2448</v>
      </c>
      <c r="D199" s="20">
        <f t="shared" si="412"/>
        <v>3662.3999999999992</v>
      </c>
      <c r="E199" s="20">
        <f t="shared" si="412"/>
        <v>5197.2000000000007</v>
      </c>
      <c r="F199" s="20">
        <f t="shared" si="412"/>
        <v>6165.4000000000005</v>
      </c>
      <c r="G199" s="20">
        <f t="shared" si="412"/>
        <v>7671.7</v>
      </c>
      <c r="H199" s="20">
        <f t="shared" si="412"/>
        <v>9704.2000000000007</v>
      </c>
      <c r="I199" s="20">
        <f t="shared" si="412"/>
        <v>11929.724465328705</v>
      </c>
      <c r="J199" s="20">
        <f t="shared" si="412"/>
        <v>13825.167447097097</v>
      </c>
      <c r="K199" s="20">
        <f t="shared" si="412"/>
        <v>14875.984595990532</v>
      </c>
      <c r="L199" s="20">
        <f t="shared" si="412"/>
        <v>16110.598006610204</v>
      </c>
      <c r="M199" s="20">
        <f t="shared" si="412"/>
        <v>17437.699723946291</v>
      </c>
      <c r="O199" s="29">
        <f>(H199/B199)^(1/6)-1</f>
        <v>0.17059753275348921</v>
      </c>
      <c r="P199" s="29">
        <f>(H199/E199)^(1/3)-1</f>
        <v>0.23139325275744849</v>
      </c>
      <c r="Q199" s="29">
        <f>(M199/H199)^(1/5)-1</f>
        <v>0.12436130589719463</v>
      </c>
      <c r="R199" s="29">
        <f>(M199/I199)^(1/4)-1</f>
        <v>9.9549272248227405E-2</v>
      </c>
    </row>
    <row r="200" spans="1:18" s="16" customFormat="1" ht="12" x14ac:dyDescent="0.15">
      <c r="A200" s="13" t="s">
        <v>13</v>
      </c>
      <c r="B200" s="14"/>
      <c r="C200" s="14">
        <f t="shared" ref="C200:F200" si="413">(C199/B199)-1</f>
        <v>-0.35092138406469575</v>
      </c>
      <c r="D200" s="14">
        <f t="shared" si="413"/>
        <v>0.49607843137254859</v>
      </c>
      <c r="E200" s="14">
        <f t="shared" si="413"/>
        <v>0.41906946264744471</v>
      </c>
      <c r="F200" s="14">
        <f t="shared" si="413"/>
        <v>0.18629261910259354</v>
      </c>
      <c r="G200" s="14">
        <f>(G199/F199)-1</f>
        <v>0.24431504849644781</v>
      </c>
      <c r="H200" s="14">
        <f>(H199/G199)-1</f>
        <v>0.26493476022263662</v>
      </c>
      <c r="I200" s="14">
        <f t="shared" ref="I200:M200" si="414">(I199/H199)-1</f>
        <v>0.22933621167419305</v>
      </c>
      <c r="J200" s="14">
        <f t="shared" si="414"/>
        <v>0.1588840536323457</v>
      </c>
      <c r="K200" s="14">
        <f t="shared" si="414"/>
        <v>7.6007553103024206E-2</v>
      </c>
      <c r="L200" s="14">
        <f t="shared" si="414"/>
        <v>8.2993727417036478E-2</v>
      </c>
      <c r="M200" s="14">
        <f t="shared" si="414"/>
        <v>8.2374454181748824E-2</v>
      </c>
    </row>
    <row r="201" spans="1:18" s="31" customFormat="1" ht="12" x14ac:dyDescent="0.15">
      <c r="A201" s="25" t="s">
        <v>37</v>
      </c>
      <c r="B201" s="17">
        <f t="shared" ref="B201:M201" si="415">B199/B65</f>
        <v>74.030962863799914</v>
      </c>
      <c r="C201" s="17">
        <f t="shared" si="415"/>
        <v>82.88530238406976</v>
      </c>
      <c r="D201" s="17">
        <f t="shared" si="415"/>
        <v>80.187770401639469</v>
      </c>
      <c r="E201" s="17">
        <f t="shared" si="415"/>
        <v>87.67931222385117</v>
      </c>
      <c r="F201" s="17">
        <f t="shared" si="415"/>
        <v>93.403688335219471</v>
      </c>
      <c r="G201" s="17">
        <f t="shared" si="415"/>
        <v>118.15412385106329</v>
      </c>
      <c r="H201" s="17">
        <f t="shared" si="415"/>
        <v>145.91706776493163</v>
      </c>
      <c r="I201" s="17">
        <f t="shared" si="415"/>
        <v>185.38310695203108</v>
      </c>
      <c r="J201" s="17">
        <f t="shared" si="415"/>
        <v>209.68360677906634</v>
      </c>
      <c r="K201" s="17">
        <f t="shared" si="415"/>
        <v>214.07214674863729</v>
      </c>
      <c r="L201" s="17">
        <f t="shared" si="415"/>
        <v>218.87534143726745</v>
      </c>
      <c r="M201" s="17">
        <f t="shared" si="415"/>
        <v>223.03103522437007</v>
      </c>
    </row>
    <row r="202" spans="1:18" s="12" customFormat="1" x14ac:dyDescent="0.15">
      <c r="A202" s="10"/>
      <c r="B202" s="80"/>
      <c r="C202" s="80"/>
      <c r="D202" s="80"/>
      <c r="E202" s="80"/>
      <c r="F202" s="80"/>
      <c r="G202" s="80"/>
      <c r="H202" s="80"/>
      <c r="I202" s="80"/>
      <c r="J202" s="80"/>
      <c r="K202" s="80"/>
      <c r="L202" s="80"/>
      <c r="M202" s="80"/>
    </row>
    <row r="203" spans="1:18" s="12" customFormat="1" ht="12" x14ac:dyDescent="0.15">
      <c r="A203" s="24" t="s">
        <v>62</v>
      </c>
      <c r="B203" s="34">
        <f t="shared" ref="B203:M203" si="416">B111+B199</f>
        <v>14319.199999999999</v>
      </c>
      <c r="C203" s="34">
        <f t="shared" si="416"/>
        <v>9673.7000000000007</v>
      </c>
      <c r="D203" s="34">
        <f t="shared" si="416"/>
        <v>15646.4</v>
      </c>
      <c r="E203" s="34">
        <f t="shared" si="416"/>
        <v>22533.899999999998</v>
      </c>
      <c r="F203" s="34">
        <f t="shared" si="416"/>
        <v>25432.800000000007</v>
      </c>
      <c r="G203" s="34">
        <f t="shared" si="416"/>
        <v>26781.9</v>
      </c>
      <c r="H203" s="34">
        <f t="shared" si="416"/>
        <v>32526.100000000002</v>
      </c>
      <c r="I203" s="34">
        <f t="shared" si="416"/>
        <v>35119.829608039996</v>
      </c>
      <c r="J203" s="34">
        <f t="shared" si="416"/>
        <v>38933.089629385897</v>
      </c>
      <c r="K203" s="34">
        <f t="shared" si="416"/>
        <v>42751.715524203348</v>
      </c>
      <c r="L203" s="34">
        <f t="shared" si="416"/>
        <v>47026.961362073787</v>
      </c>
      <c r="M203" s="34">
        <f t="shared" si="416"/>
        <v>51729.572901551306</v>
      </c>
      <c r="O203" s="29">
        <f>(H203/B203)^(1/6)-1</f>
        <v>0.14653030813190826</v>
      </c>
      <c r="P203" s="29">
        <f>(H203/E203)^(1/3)-1</f>
        <v>0.13013903765055201</v>
      </c>
      <c r="Q203" s="29">
        <f>(M203/H203)^(1/5)-1</f>
        <v>9.7239364579410958E-2</v>
      </c>
      <c r="R203" s="29">
        <f>(M203/I203)^(1/4)-1</f>
        <v>0.10165757026744182</v>
      </c>
    </row>
    <row r="204" spans="1:18" s="16" customFormat="1" ht="12" x14ac:dyDescent="0.15">
      <c r="A204" s="13" t="s">
        <v>13</v>
      </c>
      <c r="B204" s="14"/>
      <c r="C204" s="14">
        <f t="shared" ref="C204:F204" si="417">(C203/B203)-1</f>
        <v>-0.32442454885747796</v>
      </c>
      <c r="D204" s="14">
        <f t="shared" si="417"/>
        <v>0.61741629366219741</v>
      </c>
      <c r="E204" s="14">
        <f t="shared" si="417"/>
        <v>0.44019710604356255</v>
      </c>
      <c r="F204" s="14">
        <f t="shared" si="417"/>
        <v>0.12864617309919768</v>
      </c>
      <c r="G204" s="14">
        <f>(G203/F203)-1</f>
        <v>5.3045673303764973E-2</v>
      </c>
      <c r="H204" s="14">
        <f>(H203/G203)-1</f>
        <v>0.21448067538150761</v>
      </c>
      <c r="I204" s="14">
        <f t="shared" ref="I204:M204" si="418">(I203/H203)-1</f>
        <v>7.9743025079551222E-2</v>
      </c>
      <c r="J204" s="14">
        <f t="shared" si="418"/>
        <v>0.10857854562235492</v>
      </c>
      <c r="K204" s="14">
        <f t="shared" si="418"/>
        <v>9.8081758503317795E-2</v>
      </c>
      <c r="L204" s="14">
        <f t="shared" si="418"/>
        <v>0.1000017376016189</v>
      </c>
      <c r="M204" s="14">
        <f t="shared" si="418"/>
        <v>9.9998201101508366E-2</v>
      </c>
    </row>
    <row r="205" spans="1:18" s="31" customFormat="1" ht="12" x14ac:dyDescent="0.15">
      <c r="A205" s="25" t="s">
        <v>37</v>
      </c>
      <c r="B205" s="17">
        <f t="shared" ref="B205:M205" si="419">B203/B65</f>
        <v>281.07229575482529</v>
      </c>
      <c r="C205" s="17">
        <f t="shared" si="419"/>
        <v>327.53576375521885</v>
      </c>
      <c r="D205" s="17">
        <f t="shared" si="419"/>
        <v>342.57588761801333</v>
      </c>
      <c r="E205" s="17">
        <f t="shared" si="419"/>
        <v>380.15794153025462</v>
      </c>
      <c r="F205" s="17">
        <f t="shared" si="419"/>
        <v>385.29816795211508</v>
      </c>
      <c r="G205" s="17">
        <f t="shared" si="419"/>
        <v>412.47597397796994</v>
      </c>
      <c r="H205" s="17">
        <f t="shared" si="419"/>
        <v>489.0782483696691</v>
      </c>
      <c r="I205" s="17">
        <f t="shared" si="419"/>
        <v>545.74798833671105</v>
      </c>
      <c r="J205" s="17">
        <f t="shared" si="419"/>
        <v>590.49054470992576</v>
      </c>
      <c r="K205" s="17">
        <f t="shared" si="419"/>
        <v>615.21652300715243</v>
      </c>
      <c r="L205" s="17">
        <f t="shared" si="419"/>
        <v>638.89883048772197</v>
      </c>
      <c r="M205" s="17">
        <f t="shared" si="419"/>
        <v>661.62970911260334</v>
      </c>
      <c r="O205" s="29">
        <f>(H205/B205)^(1/6)-1</f>
        <v>9.6713992624297695E-2</v>
      </c>
      <c r="P205" s="29">
        <f>(H205/E205)^(1/3)-1</f>
        <v>8.7605579578879489E-2</v>
      </c>
      <c r="Q205" s="29">
        <f>(M205/H205)^(1/5)-1</f>
        <v>6.2300363272507653E-2</v>
      </c>
      <c r="R205" s="29">
        <f>(M205/I205)^(1/4)-1</f>
        <v>4.9314595221903623E-2</v>
      </c>
    </row>
    <row r="206" spans="1:18" s="12" customFormat="1" ht="12" x14ac:dyDescent="0.15">
      <c r="A206" s="10" t="s">
        <v>157</v>
      </c>
      <c r="B206" s="6">
        <v>1906.8</v>
      </c>
      <c r="C206" s="6">
        <v>2192.6</v>
      </c>
      <c r="D206" s="6">
        <v>3368.5</v>
      </c>
      <c r="E206" s="6">
        <v>4846.3999999999996</v>
      </c>
      <c r="F206" s="6">
        <v>7791.3</v>
      </c>
      <c r="G206" s="6">
        <v>6832.5</v>
      </c>
      <c r="H206" s="6">
        <v>8882.6</v>
      </c>
      <c r="I206" s="11">
        <f>H206*(1+I207)</f>
        <v>10962.904920000001</v>
      </c>
      <c r="J206" s="11">
        <f t="shared" ref="J206:M206" si="420">I206*(1+J207)</f>
        <v>11460.620803368001</v>
      </c>
      <c r="K206" s="11">
        <f t="shared" si="420"/>
        <v>10265.278053576718</v>
      </c>
      <c r="L206" s="11">
        <f t="shared" si="420"/>
        <v>11137.826688130739</v>
      </c>
      <c r="M206" s="11">
        <f t="shared" si="420"/>
        <v>9860.3179670021436</v>
      </c>
    </row>
    <row r="207" spans="1:18" s="16" customFormat="1" ht="12" x14ac:dyDescent="0.15">
      <c r="A207" s="13" t="s">
        <v>13</v>
      </c>
      <c r="B207" s="14"/>
      <c r="C207" s="14">
        <f t="shared" ref="C207:F207" si="421">(C206/B206)-1</f>
        <v>0.14988462345290543</v>
      </c>
      <c r="D207" s="14">
        <f t="shared" si="421"/>
        <v>0.53630393140563726</v>
      </c>
      <c r="E207" s="14">
        <f t="shared" si="421"/>
        <v>0.43874127950126152</v>
      </c>
      <c r="F207" s="14">
        <f t="shared" si="421"/>
        <v>0.6076469131726645</v>
      </c>
      <c r="G207" s="14">
        <f>(G206/F206)-1</f>
        <v>-0.12306033652920567</v>
      </c>
      <c r="H207" s="14">
        <f>(H206/G206)-1</f>
        <v>0.30005122575923893</v>
      </c>
      <c r="I207" s="15">
        <v>0.23419999999999999</v>
      </c>
      <c r="J207" s="15">
        <v>4.5400000000000003E-2</v>
      </c>
      <c r="K207" s="15">
        <v>-0.1043</v>
      </c>
      <c r="L207" s="15">
        <v>8.5000000000000006E-2</v>
      </c>
      <c r="M207" s="15">
        <v>-0.1147</v>
      </c>
    </row>
    <row r="208" spans="1:18" s="31" customFormat="1" x14ac:dyDescent="0.15">
      <c r="A208" s="25"/>
      <c r="B208" s="17"/>
      <c r="C208" s="17"/>
      <c r="D208" s="17"/>
      <c r="E208" s="17"/>
      <c r="F208" s="17"/>
      <c r="G208" s="17"/>
      <c r="H208" s="17"/>
      <c r="I208" s="30"/>
      <c r="J208" s="30"/>
      <c r="K208" s="30"/>
      <c r="L208" s="30"/>
      <c r="M208" s="30"/>
    </row>
    <row r="209" spans="1:18" s="12" customFormat="1" x14ac:dyDescent="0.15">
      <c r="A209" s="22" t="s">
        <v>64</v>
      </c>
      <c r="B209" s="20">
        <f t="shared" ref="B209:M209" si="422">B203+B206</f>
        <v>16225.999999999998</v>
      </c>
      <c r="C209" s="20">
        <f t="shared" si="422"/>
        <v>11866.300000000001</v>
      </c>
      <c r="D209" s="20">
        <f t="shared" si="422"/>
        <v>19014.900000000001</v>
      </c>
      <c r="E209" s="20">
        <f t="shared" si="422"/>
        <v>27380.299999999996</v>
      </c>
      <c r="F209" s="20">
        <f t="shared" si="422"/>
        <v>33224.100000000006</v>
      </c>
      <c r="G209" s="20">
        <f t="shared" si="422"/>
        <v>33614.400000000001</v>
      </c>
      <c r="H209" s="20">
        <f t="shared" si="422"/>
        <v>41408.700000000004</v>
      </c>
      <c r="I209" s="20">
        <f t="shared" si="422"/>
        <v>46082.734528039997</v>
      </c>
      <c r="J209" s="20">
        <f t="shared" si="422"/>
        <v>50393.710432753898</v>
      </c>
      <c r="K209" s="20">
        <f t="shared" si="422"/>
        <v>53016.993577780064</v>
      </c>
      <c r="L209" s="20">
        <f t="shared" si="422"/>
        <v>58164.78805020453</v>
      </c>
      <c r="M209" s="20">
        <f t="shared" si="422"/>
        <v>61589.890868553448</v>
      </c>
      <c r="O209" s="29">
        <f>(H209/B209)^(1/6)-1</f>
        <v>0.16899688554830727</v>
      </c>
      <c r="P209" s="29">
        <f>(H209/E209)^(1/3)-1</f>
        <v>0.14784821890549305</v>
      </c>
      <c r="Q209" s="29">
        <f>(M209/H209)^(1/5)-1</f>
        <v>8.2638750673855954E-2</v>
      </c>
      <c r="R209" s="29">
        <f>(M209/I209)^(1/4)-1</f>
        <v>7.5208770163965655E-2</v>
      </c>
    </row>
    <row r="210" spans="1:18" s="16" customFormat="1" ht="12" x14ac:dyDescent="0.15">
      <c r="A210" s="13" t="s">
        <v>13</v>
      </c>
      <c r="B210" s="14"/>
      <c r="C210" s="14">
        <f t="shared" ref="C210:F210" si="423">(C209/B209)-1</f>
        <v>-0.26868605941082202</v>
      </c>
      <c r="D210" s="14">
        <f t="shared" si="423"/>
        <v>0.60242872673032033</v>
      </c>
      <c r="E210" s="14">
        <f t="shared" si="423"/>
        <v>0.43993920557036814</v>
      </c>
      <c r="F210" s="14">
        <f t="shared" si="423"/>
        <v>0.21343082435181548</v>
      </c>
      <c r="G210" s="14">
        <f>(G209/F209)-1</f>
        <v>1.1747496546181679E-2</v>
      </c>
      <c r="H210" s="14">
        <f>(H209/G209)-1</f>
        <v>0.23187383978295029</v>
      </c>
      <c r="I210" s="14">
        <f t="shared" ref="I210:M210" si="424">(I209/H209)-1</f>
        <v>0.11287566448693132</v>
      </c>
      <c r="J210" s="14">
        <f t="shared" si="424"/>
        <v>9.3548613138198178E-2</v>
      </c>
      <c r="K210" s="14">
        <f t="shared" si="424"/>
        <v>5.205576494564168E-2</v>
      </c>
      <c r="L210" s="14">
        <f t="shared" si="424"/>
        <v>9.7097065016941153E-2</v>
      </c>
      <c r="M210" s="14">
        <f t="shared" si="424"/>
        <v>5.8886190995702803E-2</v>
      </c>
    </row>
    <row r="211" spans="1:18" s="16" customFormat="1" x14ac:dyDescent="0.15">
      <c r="A211" s="13"/>
      <c r="B211" s="14"/>
      <c r="C211" s="14"/>
      <c r="D211" s="14"/>
      <c r="E211" s="14"/>
      <c r="F211" s="14"/>
      <c r="G211" s="14"/>
      <c r="H211" s="14"/>
      <c r="I211" s="15"/>
      <c r="J211" s="15"/>
      <c r="K211" s="15"/>
      <c r="L211" s="15"/>
      <c r="M211" s="15"/>
    </row>
    <row r="212" spans="1:18" s="12" customFormat="1" ht="12" x14ac:dyDescent="0.15">
      <c r="A212" s="24" t="s">
        <v>65</v>
      </c>
      <c r="B212" s="87"/>
      <c r="C212" s="87"/>
      <c r="D212" s="87"/>
      <c r="E212" s="87"/>
      <c r="F212" s="87"/>
      <c r="G212" s="87"/>
      <c r="H212" s="87"/>
      <c r="I212" s="11"/>
      <c r="J212" s="11"/>
      <c r="K212" s="11"/>
      <c r="L212" s="11"/>
      <c r="M212" s="11"/>
    </row>
    <row r="213" spans="1:18" s="12" customFormat="1" ht="12" x14ac:dyDescent="0.15">
      <c r="A213" s="10" t="s">
        <v>66</v>
      </c>
      <c r="B213" s="6">
        <v>877.1</v>
      </c>
      <c r="C213" s="6">
        <v>970.5</v>
      </c>
      <c r="D213" s="6">
        <v>1115.8</v>
      </c>
      <c r="E213" s="6">
        <v>1373.3</v>
      </c>
      <c r="F213" s="6">
        <v>1724.5</v>
      </c>
      <c r="G213" s="6">
        <v>2126</v>
      </c>
      <c r="H213" s="6">
        <v>2577.4</v>
      </c>
      <c r="I213" s="11">
        <f>H213*(1+I214)</f>
        <v>3101.1276800000001</v>
      </c>
      <c r="J213" s="11">
        <f t="shared" ref="J213:M213" si="425">I213*(1+J214)</f>
        <v>3452.7955589119997</v>
      </c>
      <c r="K213" s="11">
        <f t="shared" si="425"/>
        <v>3788.7525667941372</v>
      </c>
      <c r="L213" s="11">
        <f t="shared" si="425"/>
        <v>4161.5658193666804</v>
      </c>
      <c r="M213" s="11">
        <f t="shared" si="425"/>
        <v>4549.4237537316549</v>
      </c>
      <c r="O213" s="29">
        <f>(H213/B213)^(1/6)-1</f>
        <v>0.19680148352796967</v>
      </c>
      <c r="P213" s="29">
        <f>(H213/E213)^(1/3)-1</f>
        <v>0.23349899895604342</v>
      </c>
      <c r="Q213" s="29">
        <f>(M213/H213)^(1/5)-1</f>
        <v>0.12035308233210684</v>
      </c>
      <c r="R213" s="29">
        <f>(M213/I213)^(1/4)-1</f>
        <v>0.10054849910983332</v>
      </c>
    </row>
    <row r="214" spans="1:18" s="16" customFormat="1" ht="12" x14ac:dyDescent="0.15">
      <c r="A214" s="13" t="s">
        <v>13</v>
      </c>
      <c r="B214" s="14"/>
      <c r="C214" s="14">
        <f t="shared" ref="C214:F214" si="426">(C213/B213)-1</f>
        <v>0.10648728765249116</v>
      </c>
      <c r="D214" s="14">
        <f t="shared" si="426"/>
        <v>0.14971664090674897</v>
      </c>
      <c r="E214" s="14">
        <f t="shared" si="426"/>
        <v>0.23077612475354004</v>
      </c>
      <c r="F214" s="14">
        <f t="shared" si="426"/>
        <v>0.2557343624845263</v>
      </c>
      <c r="G214" s="14">
        <f>(G213/F213)-1</f>
        <v>0.23282110756741092</v>
      </c>
      <c r="H214" s="14">
        <f>(H213/G213)-1</f>
        <v>0.21232361241768594</v>
      </c>
      <c r="I214" s="15">
        <v>0.20319999999999999</v>
      </c>
      <c r="J214" s="15">
        <v>0.1134</v>
      </c>
      <c r="K214" s="15">
        <v>9.7299999999999998E-2</v>
      </c>
      <c r="L214" s="15">
        <v>9.8400000000000001E-2</v>
      </c>
      <c r="M214" s="15">
        <v>9.3200000000000005E-2</v>
      </c>
    </row>
    <row r="215" spans="1:18" s="31" customFormat="1" ht="12" x14ac:dyDescent="0.15">
      <c r="A215" s="25" t="s">
        <v>67</v>
      </c>
      <c r="B215" s="14">
        <f t="shared" ref="B215:M215" si="427">B213/B273</f>
        <v>0.13918024722702679</v>
      </c>
      <c r="C215" s="14">
        <f t="shared" si="427"/>
        <v>0.16578974341453415</v>
      </c>
      <c r="D215" s="14">
        <f t="shared" si="427"/>
        <v>0.16435168137161033</v>
      </c>
      <c r="E215" s="14">
        <f t="shared" si="427"/>
        <v>0.15749214431523659</v>
      </c>
      <c r="F215" s="14">
        <f t="shared" si="427"/>
        <v>0.16752151697072135</v>
      </c>
      <c r="G215" s="14">
        <f t="shared" si="427"/>
        <v>0.18122613202400439</v>
      </c>
      <c r="H215" s="14">
        <f t="shared" si="427"/>
        <v>0.1724497852239425</v>
      </c>
      <c r="I215" s="14">
        <f t="shared" si="427"/>
        <v>0.19472922278352828</v>
      </c>
      <c r="J215" s="14">
        <f t="shared" si="427"/>
        <v>0.19511971420730684</v>
      </c>
      <c r="K215" s="14">
        <f t="shared" si="427"/>
        <v>0.19698913798537657</v>
      </c>
      <c r="L215" s="14">
        <f t="shared" si="427"/>
        <v>0.19884499402036521</v>
      </c>
      <c r="M215" s="14">
        <f t="shared" si="427"/>
        <v>0.19988695437955192</v>
      </c>
    </row>
    <row r="216" spans="1:18" s="31" customFormat="1" ht="24" x14ac:dyDescent="0.15">
      <c r="A216" s="13" t="s">
        <v>36</v>
      </c>
      <c r="B216" s="14">
        <f t="shared" ref="B216:M216" si="428">B213/B203</f>
        <v>6.1253421978881506E-2</v>
      </c>
      <c r="C216" s="14">
        <f t="shared" si="428"/>
        <v>0.10032355768733782</v>
      </c>
      <c r="D216" s="14">
        <f t="shared" si="428"/>
        <v>7.1313528990694347E-2</v>
      </c>
      <c r="E216" s="14">
        <f t="shared" si="428"/>
        <v>6.0943733663502551E-2</v>
      </c>
      <c r="F216" s="14">
        <f t="shared" si="428"/>
        <v>6.7806140102544724E-2</v>
      </c>
      <c r="G216" s="14">
        <f t="shared" si="428"/>
        <v>7.938197065928855E-2</v>
      </c>
      <c r="H216" s="14">
        <f t="shared" si="428"/>
        <v>7.924097878319257E-2</v>
      </c>
      <c r="I216" s="14">
        <f t="shared" si="428"/>
        <v>8.8301330462322566E-2</v>
      </c>
      <c r="J216" s="14">
        <f t="shared" si="428"/>
        <v>8.8685372565600357E-2</v>
      </c>
      <c r="K216" s="14">
        <f t="shared" si="428"/>
        <v>8.8622234694866978E-2</v>
      </c>
      <c r="L216" s="14">
        <f t="shared" si="428"/>
        <v>8.8493189839029068E-2</v>
      </c>
      <c r="M216" s="14">
        <f t="shared" si="428"/>
        <v>8.7946284853150661E-2</v>
      </c>
    </row>
    <row r="217" spans="1:18" s="31" customFormat="1" ht="12" x14ac:dyDescent="0.15">
      <c r="A217" s="25" t="s">
        <v>37</v>
      </c>
      <c r="B217" s="17">
        <f t="shared" ref="B217:M217" si="429">B213/B65</f>
        <v>17.216639938443301</v>
      </c>
      <c r="C217" s="17">
        <f t="shared" si="429"/>
        <v>32.859553089762954</v>
      </c>
      <c r="D217" s="17">
        <f t="shared" si="429"/>
        <v>24.430295493160042</v>
      </c>
      <c r="E217" s="17">
        <f t="shared" si="429"/>
        <v>23.168244338685213</v>
      </c>
      <c r="F217" s="17">
        <f t="shared" si="429"/>
        <v>26.125581557414925</v>
      </c>
      <c r="G217" s="17">
        <f t="shared" si="429"/>
        <v>32.74315566398068</v>
      </c>
      <c r="H217" s="17">
        <f t="shared" si="429"/>
        <v>38.755039102381936</v>
      </c>
      <c r="I217" s="17">
        <f t="shared" si="429"/>
        <v>48.19027346726768</v>
      </c>
      <c r="J217" s="17">
        <f t="shared" si="429"/>
        <v>52.367873954064059</v>
      </c>
      <c r="K217" s="17">
        <f t="shared" si="429"/>
        <v>54.521863090099892</v>
      </c>
      <c r="L217" s="17">
        <f t="shared" si="429"/>
        <v>56.538195494283627</v>
      </c>
      <c r="M217" s="17">
        <f t="shared" si="429"/>
        <v>58.187874864924233</v>
      </c>
    </row>
    <row r="218" spans="1:18" s="16" customFormat="1" ht="12" x14ac:dyDescent="0.15">
      <c r="A218" s="13" t="s">
        <v>13</v>
      </c>
      <c r="B218" s="14"/>
      <c r="C218" s="14">
        <f t="shared" ref="C218" si="430">(C217/B217)-1</f>
        <v>0.90859268749591204</v>
      </c>
      <c r="D218" s="14">
        <f t="shared" ref="D218" si="431">(D217/C217)-1</f>
        <v>-0.25652380522573082</v>
      </c>
      <c r="E218" s="14">
        <f t="shared" ref="E218" si="432">(E217/D217)-1</f>
        <v>-5.1659266865117348E-2</v>
      </c>
      <c r="F218" s="14">
        <f t="shared" ref="F218" si="433">(F217/E217)-1</f>
        <v>0.1276461511497311</v>
      </c>
      <c r="G218" s="14">
        <f>(G217/F217)-1</f>
        <v>0.25329863344946535</v>
      </c>
      <c r="H218" s="14">
        <f>(H217/G217)-1</f>
        <v>0.18360733156256726</v>
      </c>
      <c r="I218" s="14">
        <f t="shared" ref="I218:M218" si="434">(I217/H217)-1</f>
        <v>0.24345825945266153</v>
      </c>
      <c r="J218" s="14">
        <f t="shared" si="434"/>
        <v>8.668970284291766E-2</v>
      </c>
      <c r="K218" s="14">
        <f t="shared" si="434"/>
        <v>4.1131880548086919E-2</v>
      </c>
      <c r="L218" s="14">
        <f t="shared" si="434"/>
        <v>3.6982089200650714E-2</v>
      </c>
      <c r="M218" s="14">
        <f t="shared" si="434"/>
        <v>2.9178139772915168E-2</v>
      </c>
    </row>
    <row r="219" spans="1:18" s="12" customFormat="1" ht="12" x14ac:dyDescent="0.15">
      <c r="A219" s="10" t="s">
        <v>68</v>
      </c>
      <c r="B219" s="6">
        <v>578.5</v>
      </c>
      <c r="C219" s="6">
        <v>426.5</v>
      </c>
      <c r="D219" s="6">
        <v>546.5</v>
      </c>
      <c r="E219" s="6">
        <v>730.6</v>
      </c>
      <c r="F219" s="6">
        <v>728.6</v>
      </c>
      <c r="G219" s="6">
        <v>848.6</v>
      </c>
      <c r="H219" s="6">
        <v>1256.4000000000001</v>
      </c>
      <c r="I219" s="11">
        <f>H219*(1+I220)</f>
        <v>1397.4937200000002</v>
      </c>
      <c r="J219" s="11">
        <f t="shared" ref="J219" si="435">I219*(1+J220)</f>
        <v>1566.4507107480001</v>
      </c>
      <c r="K219" s="11">
        <f t="shared" ref="K219" si="436">J219*(1+K220)</f>
        <v>1743.7729312046736</v>
      </c>
      <c r="L219" s="11">
        <f t="shared" ref="L219" si="437">K219*(1+L220)</f>
        <v>1898.4455902025281</v>
      </c>
      <c r="M219" s="11">
        <f t="shared" ref="M219" si="438">L219*(1+M220)</f>
        <v>2058.4845534566011</v>
      </c>
      <c r="O219" s="29">
        <f>(H219/B219)^(1/6)-1</f>
        <v>0.13798733162803734</v>
      </c>
      <c r="P219" s="29">
        <f>(H219/E219)^(1/3)-1</f>
        <v>0.19807154438949093</v>
      </c>
      <c r="Q219" s="29">
        <f>(M219/H219)^(1/5)-1</f>
        <v>0.10378359977645335</v>
      </c>
      <c r="R219" s="29">
        <f>(M219/I219)^(1/4)-1</f>
        <v>0.10166470778756787</v>
      </c>
    </row>
    <row r="220" spans="1:18" s="16" customFormat="1" ht="12" x14ac:dyDescent="0.15">
      <c r="A220" s="13" t="s">
        <v>13</v>
      </c>
      <c r="B220" s="14"/>
      <c r="C220" s="14">
        <f t="shared" ref="C220:F220" si="439">(C219/B219)-1</f>
        <v>-0.26274848746758861</v>
      </c>
      <c r="D220" s="14">
        <f t="shared" si="439"/>
        <v>0.28135990621336449</v>
      </c>
      <c r="E220" s="14">
        <f t="shared" si="439"/>
        <v>0.33687099725526082</v>
      </c>
      <c r="F220" s="14">
        <f t="shared" si="439"/>
        <v>-2.7374760470846304E-3</v>
      </c>
      <c r="G220" s="14">
        <f>(G219/F219)-1</f>
        <v>0.16469942355201761</v>
      </c>
      <c r="H220" s="14">
        <f>(H219/G219)-1</f>
        <v>0.48055621022861184</v>
      </c>
      <c r="I220" s="15">
        <v>0.1123</v>
      </c>
      <c r="J220" s="15">
        <v>0.12089999999999999</v>
      </c>
      <c r="K220" s="15">
        <v>0.1132</v>
      </c>
      <c r="L220" s="15">
        <v>8.8700000000000001E-2</v>
      </c>
      <c r="M220" s="15">
        <v>8.43E-2</v>
      </c>
    </row>
    <row r="221" spans="1:18" s="16" customFormat="1" ht="12" x14ac:dyDescent="0.15">
      <c r="A221" s="13" t="s">
        <v>67</v>
      </c>
      <c r="B221" s="14">
        <f t="shared" ref="B221:H221" si="440">B219/B273</f>
        <v>9.179771180120283E-2</v>
      </c>
      <c r="C221" s="14">
        <f t="shared" si="440"/>
        <v>7.2858655915815362E-2</v>
      </c>
      <c r="D221" s="14">
        <f t="shared" si="440"/>
        <v>8.049667849935925E-2</v>
      </c>
      <c r="E221" s="14">
        <f t="shared" si="440"/>
        <v>8.37863253744352E-2</v>
      </c>
      <c r="F221" s="14">
        <f t="shared" si="440"/>
        <v>7.0777719492529756E-2</v>
      </c>
      <c r="G221" s="14">
        <f t="shared" si="440"/>
        <v>7.2337015821058379E-2</v>
      </c>
      <c r="H221" s="14">
        <f t="shared" si="440"/>
        <v>8.4063750351269256E-2</v>
      </c>
      <c r="I221" s="14">
        <f t="shared" ref="I221:M221" si="441">I219/I273</f>
        <v>8.7752873799914519E-2</v>
      </c>
      <c r="J221" s="14">
        <f t="shared" si="441"/>
        <v>8.8521144616304323E-2</v>
      </c>
      <c r="K221" s="14">
        <f t="shared" si="441"/>
        <v>9.0664228002331398E-2</v>
      </c>
      <c r="L221" s="14">
        <f t="shared" si="441"/>
        <v>9.0710184199191385E-2</v>
      </c>
      <c r="M221" s="14">
        <f t="shared" si="441"/>
        <v>9.0443148473537849E-2</v>
      </c>
    </row>
    <row r="222" spans="1:18" s="16" customFormat="1" ht="24" x14ac:dyDescent="0.15">
      <c r="A222" s="13" t="s">
        <v>36</v>
      </c>
      <c r="B222" s="14">
        <f t="shared" ref="B222:M222" si="442">B219/B203</f>
        <v>4.0400301692832007E-2</v>
      </c>
      <c r="C222" s="14">
        <f t="shared" si="442"/>
        <v>4.4088611389644081E-2</v>
      </c>
      <c r="D222" s="14">
        <f t="shared" si="442"/>
        <v>3.492816238879231E-2</v>
      </c>
      <c r="E222" s="14">
        <f t="shared" si="442"/>
        <v>3.2422261570345126E-2</v>
      </c>
      <c r="F222" s="14">
        <f t="shared" si="442"/>
        <v>2.8648045044194891E-2</v>
      </c>
      <c r="G222" s="14">
        <f t="shared" si="442"/>
        <v>3.1685578693072557E-2</v>
      </c>
      <c r="H222" s="14">
        <f t="shared" si="442"/>
        <v>3.8627440732211978E-2</v>
      </c>
      <c r="I222" s="14">
        <f t="shared" si="442"/>
        <v>3.9792155474469369E-2</v>
      </c>
      <c r="J222" s="14">
        <f t="shared" si="442"/>
        <v>4.0234431062611466E-2</v>
      </c>
      <c r="K222" s="14">
        <f t="shared" si="442"/>
        <v>4.0788373281008067E-2</v>
      </c>
      <c r="L222" s="14">
        <f t="shared" si="442"/>
        <v>4.036930167751776E-2</v>
      </c>
      <c r="M222" s="14">
        <f t="shared" si="442"/>
        <v>3.9793186720760064E-2</v>
      </c>
    </row>
    <row r="223" spans="1:18" s="31" customFormat="1" ht="12" x14ac:dyDescent="0.15">
      <c r="A223" s="25" t="s">
        <v>37</v>
      </c>
      <c r="B223" s="17">
        <f t="shared" ref="B223:M223" si="443">B219/B65</f>
        <v>11.355405545991847</v>
      </c>
      <c r="C223" s="17">
        <f t="shared" si="443"/>
        <v>14.440597004414116</v>
      </c>
      <c r="D223" s="17">
        <f t="shared" si="443"/>
        <v>11.965546233206634</v>
      </c>
      <c r="E223" s="17">
        <f t="shared" si="443"/>
        <v>12.325580218337885</v>
      </c>
      <c r="F223" s="17">
        <f t="shared" si="443"/>
        <v>11.038039270937961</v>
      </c>
      <c r="G223" s="17">
        <f t="shared" si="443"/>
        <v>13.069539932480716</v>
      </c>
      <c r="H223" s="17">
        <f t="shared" si="443"/>
        <v>18.891841052313442</v>
      </c>
      <c r="I223" s="17">
        <f t="shared" si="443"/>
        <v>21.716488801773302</v>
      </c>
      <c r="J223" s="17">
        <f t="shared" si="443"/>
        <v>23.758051114255398</v>
      </c>
      <c r="K223" s="17">
        <f t="shared" si="443"/>
        <v>25.09368118905962</v>
      </c>
      <c r="L223" s="17">
        <f t="shared" si="443"/>
        <v>25.791899629372129</v>
      </c>
      <c r="M223" s="17">
        <f t="shared" si="443"/>
        <v>26.328354554719994</v>
      </c>
    </row>
    <row r="224" spans="1:18" s="16" customFormat="1" ht="12" x14ac:dyDescent="0.15">
      <c r="A224" s="13" t="s">
        <v>13</v>
      </c>
      <c r="B224" s="14"/>
      <c r="C224" s="14">
        <f t="shared" ref="C224" si="444">(C223/B223)-1</f>
        <v>0.27169363929157586</v>
      </c>
      <c r="D224" s="14">
        <f t="shared" ref="D224" si="445">(D223/C223)-1</f>
        <v>-0.17139532184513717</v>
      </c>
      <c r="E224" s="14">
        <f t="shared" ref="E224" si="446">(E223/D223)-1</f>
        <v>3.0089222682712968E-2</v>
      </c>
      <c r="F224" s="14">
        <f t="shared" ref="F224" si="447">(F223/E223)-1</f>
        <v>-0.10446087929267067</v>
      </c>
      <c r="G224" s="14">
        <f>(G223/F223)-1</f>
        <v>0.18404542796758205</v>
      </c>
      <c r="H224" s="14">
        <f>(H223/G223)-1</f>
        <v>0.44548631014646589</v>
      </c>
      <c r="I224" s="14">
        <f t="shared" ref="I224:M224" si="448">(I223/H223)-1</f>
        <v>0.14951680683942459</v>
      </c>
      <c r="J224" s="14">
        <f t="shared" si="448"/>
        <v>9.4009778980264525E-2</v>
      </c>
      <c r="K224" s="14">
        <f t="shared" si="448"/>
        <v>5.6217998201157693E-2</v>
      </c>
      <c r="L224" s="14">
        <f t="shared" si="448"/>
        <v>2.7824472426027258E-2</v>
      </c>
      <c r="M224" s="14">
        <f t="shared" si="448"/>
        <v>2.0799356893314913E-2</v>
      </c>
    </row>
    <row r="225" spans="1:18" s="12" customFormat="1" ht="12" x14ac:dyDescent="0.15">
      <c r="A225" s="10" t="s">
        <v>69</v>
      </c>
      <c r="B225" s="6">
        <v>428.2</v>
      </c>
      <c r="C225" s="6">
        <v>458.3</v>
      </c>
      <c r="D225" s="6">
        <v>510.4</v>
      </c>
      <c r="E225" s="6">
        <v>577.1</v>
      </c>
      <c r="F225" s="6">
        <v>691.2</v>
      </c>
      <c r="G225" s="6">
        <v>831.4</v>
      </c>
      <c r="H225" s="6">
        <v>927</v>
      </c>
      <c r="I225" s="11">
        <f>H225*(1+I226)</f>
        <v>1014.4161</v>
      </c>
      <c r="J225" s="11">
        <f t="shared" ref="J225" si="449">I225*(1+J226)</f>
        <v>1102.16309265</v>
      </c>
      <c r="K225" s="11">
        <f t="shared" ref="K225" si="450">J225*(1+K226)</f>
        <v>1205.2153418127748</v>
      </c>
      <c r="L225" s="11">
        <f t="shared" ref="L225" si="451">K225*(1+L226)</f>
        <v>1325.4958329256899</v>
      </c>
      <c r="M225" s="11">
        <f t="shared" ref="M225" si="452">L225*(1+M226)</f>
        <v>1458.7081641347218</v>
      </c>
      <c r="O225" s="29">
        <f>(H225/B225)^(1/6)-1</f>
        <v>0.13737980262194482</v>
      </c>
      <c r="P225" s="29">
        <f>(H225/E225)^(1/3)-1</f>
        <v>0.17114199235896899</v>
      </c>
      <c r="Q225" s="29">
        <f>(M225/H225)^(1/5)-1</f>
        <v>9.4908269565898928E-2</v>
      </c>
      <c r="R225" s="29">
        <f>(M225/I225)^(1/4)-1</f>
        <v>9.5060389779449084E-2</v>
      </c>
    </row>
    <row r="226" spans="1:18" s="16" customFormat="1" ht="12" x14ac:dyDescent="0.15">
      <c r="A226" s="13" t="s">
        <v>13</v>
      </c>
      <c r="B226" s="14"/>
      <c r="C226" s="14">
        <f t="shared" ref="C226:F226" si="453">(C225/B225)-1</f>
        <v>7.0294255021018381E-2</v>
      </c>
      <c r="D226" s="14">
        <f t="shared" si="453"/>
        <v>0.11368099498145301</v>
      </c>
      <c r="E226" s="14">
        <f t="shared" si="453"/>
        <v>0.13068181818181834</v>
      </c>
      <c r="F226" s="14">
        <f t="shared" si="453"/>
        <v>0.19771270143822561</v>
      </c>
      <c r="G226" s="14">
        <f>(G225/F225)-1</f>
        <v>0.20283564814814814</v>
      </c>
      <c r="H226" s="14">
        <f>(H225/G225)-1</f>
        <v>0.11498676930478724</v>
      </c>
      <c r="I226" s="15">
        <v>9.4299999999999995E-2</v>
      </c>
      <c r="J226" s="15">
        <v>8.6499999999999994E-2</v>
      </c>
      <c r="K226" s="15">
        <v>9.35E-2</v>
      </c>
      <c r="L226" s="15">
        <v>9.98E-2</v>
      </c>
      <c r="M226" s="15">
        <v>0.10050000000000001</v>
      </c>
    </row>
    <row r="227" spans="1:18" s="16" customFormat="1" ht="12" x14ac:dyDescent="0.15">
      <c r="A227" s="13" t="s">
        <v>67</v>
      </c>
      <c r="B227" s="14">
        <f t="shared" ref="B227:H227" si="454">B225/B273</f>
        <v>6.7947761786128005E-2</v>
      </c>
      <c r="C227" s="14">
        <f t="shared" si="454"/>
        <v>7.8291024633571349E-2</v>
      </c>
      <c r="D227" s="14">
        <f t="shared" si="454"/>
        <v>7.5179331575613836E-2</v>
      </c>
      <c r="E227" s="14">
        <f t="shared" si="454"/>
        <v>6.6182710612628731E-2</v>
      </c>
      <c r="F227" s="14">
        <f t="shared" si="454"/>
        <v>6.7144605700297247E-2</v>
      </c>
      <c r="G227" s="14">
        <f t="shared" si="454"/>
        <v>7.0870840152755049E-2</v>
      </c>
      <c r="H227" s="14">
        <f t="shared" si="454"/>
        <v>6.2024113797856252E-2</v>
      </c>
      <c r="I227" s="14">
        <f t="shared" ref="I227:M227" si="455">I225/I273</f>
        <v>6.3698266925951888E-2</v>
      </c>
      <c r="J227" s="14">
        <f t="shared" si="455"/>
        <v>6.2283950491257692E-2</v>
      </c>
      <c r="K227" s="14">
        <f t="shared" si="455"/>
        <v>6.2662928519330099E-2</v>
      </c>
      <c r="L227" s="14">
        <f t="shared" si="455"/>
        <v>6.333390421114099E-2</v>
      </c>
      <c r="M227" s="14">
        <f t="shared" si="455"/>
        <v>6.4090915254555458E-2</v>
      </c>
    </row>
    <row r="228" spans="1:18" s="16" customFormat="1" ht="24" x14ac:dyDescent="0.15">
      <c r="A228" s="13" t="s">
        <v>36</v>
      </c>
      <c r="B228" s="14">
        <f t="shared" ref="B228:M228" si="456">B225/B203</f>
        <v>2.9903905246103136E-2</v>
      </c>
      <c r="C228" s="14">
        <f t="shared" si="456"/>
        <v>4.7375874794546032E-2</v>
      </c>
      <c r="D228" s="14">
        <f t="shared" si="456"/>
        <v>3.2620922384701913E-2</v>
      </c>
      <c r="E228" s="14">
        <f t="shared" si="456"/>
        <v>2.561030269948833E-2</v>
      </c>
      <c r="F228" s="14">
        <f t="shared" si="456"/>
        <v>2.7177503066905723E-2</v>
      </c>
      <c r="G228" s="14">
        <f t="shared" si="456"/>
        <v>3.1043353906929676E-2</v>
      </c>
      <c r="H228" s="14">
        <f t="shared" si="456"/>
        <v>2.8500189078924307E-2</v>
      </c>
      <c r="I228" s="14">
        <f t="shared" si="456"/>
        <v>2.8884425446294573E-2</v>
      </c>
      <c r="J228" s="14">
        <f t="shared" si="456"/>
        <v>2.8309160745827629E-2</v>
      </c>
      <c r="K228" s="14">
        <f t="shared" si="456"/>
        <v>2.819104045381424E-2</v>
      </c>
      <c r="L228" s="14">
        <f t="shared" si="456"/>
        <v>2.818587028662824E-2</v>
      </c>
      <c r="M228" s="14">
        <f t="shared" si="456"/>
        <v>2.8198728160985394E-2</v>
      </c>
    </row>
    <row r="229" spans="1:18" s="31" customFormat="1" ht="12" x14ac:dyDescent="0.15">
      <c r="A229" s="25" t="s">
        <v>37</v>
      </c>
      <c r="B229" s="17">
        <f t="shared" ref="B229:M229" si="457">B225/B65</f>
        <v>8.4051592995569724</v>
      </c>
      <c r="C229" s="17">
        <f t="shared" si="457"/>
        <v>15.517293334403258</v>
      </c>
      <c r="D229" s="17">
        <f t="shared" si="457"/>
        <v>11.175141440857578</v>
      </c>
      <c r="E229" s="17">
        <f t="shared" si="457"/>
        <v>9.7359599562042067</v>
      </c>
      <c r="F229" s="17">
        <f t="shared" si="457"/>
        <v>10.471442141191764</v>
      </c>
      <c r="G229" s="17">
        <f t="shared" si="457"/>
        <v>12.804637638303637</v>
      </c>
      <c r="H229" s="17">
        <f t="shared" si="457"/>
        <v>13.938822552924673</v>
      </c>
      <c r="I229" s="17">
        <f t="shared" si="457"/>
        <v>15.763617081576969</v>
      </c>
      <c r="J229" s="17">
        <f t="shared" si="457"/>
        <v>16.716291749084604</v>
      </c>
      <c r="K229" s="17">
        <f t="shared" si="457"/>
        <v>17.343593887949574</v>
      </c>
      <c r="L229" s="17">
        <f t="shared" si="457"/>
        <v>18.007919562405416</v>
      </c>
      <c r="M229" s="17">
        <f t="shared" si="457"/>
        <v>18.657116310498143</v>
      </c>
    </row>
    <row r="230" spans="1:18" s="16" customFormat="1" ht="12" x14ac:dyDescent="0.15">
      <c r="A230" s="13" t="s">
        <v>13</v>
      </c>
      <c r="B230" s="14"/>
      <c r="C230" s="14">
        <f t="shared" ref="C230" si="458">(C229/B229)-1</f>
        <v>0.84616290796786675</v>
      </c>
      <c r="D230" s="14">
        <f t="shared" ref="D230" si="459">(D229/C229)-1</f>
        <v>-0.27982662955263804</v>
      </c>
      <c r="E230" s="14">
        <f t="shared" ref="E230" si="460">(E229/D229)-1</f>
        <v>-0.12878418517295553</v>
      </c>
      <c r="F230" s="14">
        <f t="shared" ref="F230" si="461">(F229/E229)-1</f>
        <v>7.5542852301777819E-2</v>
      </c>
      <c r="G230" s="14">
        <f>(G229/F229)-1</f>
        <v>0.22281510661590032</v>
      </c>
      <c r="H230" s="14">
        <f>(H229/G229)-1</f>
        <v>8.8576103960041008E-2</v>
      </c>
      <c r="I230" s="14">
        <f t="shared" ref="I230:M230" si="462">(I229/H229)-1</f>
        <v>0.1309145389952191</v>
      </c>
      <c r="J230" s="14">
        <f t="shared" si="462"/>
        <v>6.0435029763634018E-2</v>
      </c>
      <c r="K230" s="14">
        <f t="shared" si="462"/>
        <v>3.7526393310246098E-2</v>
      </c>
      <c r="L230" s="14">
        <f t="shared" si="462"/>
        <v>3.8303807085647845E-2</v>
      </c>
      <c r="M230" s="14">
        <f t="shared" si="462"/>
        <v>3.6050624606744464E-2</v>
      </c>
    </row>
    <row r="231" spans="1:18" s="12" customFormat="1" ht="12" x14ac:dyDescent="0.15">
      <c r="A231" s="10" t="s">
        <v>70</v>
      </c>
      <c r="B231" s="6">
        <v>380.4</v>
      </c>
      <c r="C231" s="6">
        <v>355.6</v>
      </c>
      <c r="D231" s="6">
        <v>391.8</v>
      </c>
      <c r="E231" s="6">
        <v>474</v>
      </c>
      <c r="F231" s="6">
        <v>485.3</v>
      </c>
      <c r="G231" s="6">
        <v>542.5</v>
      </c>
      <c r="H231" s="6">
        <v>606</v>
      </c>
      <c r="I231" s="11">
        <f>H231*(1+I232)</f>
        <v>638.9058</v>
      </c>
      <c r="J231" s="11">
        <f t="shared" ref="J231:M231" si="463">I231*(1+J232)</f>
        <v>682.79862846000003</v>
      </c>
      <c r="K231" s="11">
        <f t="shared" si="463"/>
        <v>727.11225944705404</v>
      </c>
      <c r="L231" s="11">
        <f t="shared" si="463"/>
        <v>778.88265231968421</v>
      </c>
      <c r="M231" s="11">
        <f t="shared" si="463"/>
        <v>842.9846946055942</v>
      </c>
      <c r="O231" s="29">
        <f>(H231/B231)^(1/6)-1</f>
        <v>8.0700500622896243E-2</v>
      </c>
      <c r="P231" s="29">
        <f>(H231/E231)^(1/3)-1</f>
        <v>8.5337380171791599E-2</v>
      </c>
      <c r="Q231" s="29">
        <f>(M231/H231)^(1/5)-1</f>
        <v>6.8241419464285524E-2</v>
      </c>
      <c r="R231" s="29">
        <f>(M231/I231)^(1/4)-1</f>
        <v>7.1755484779838508E-2</v>
      </c>
    </row>
    <row r="232" spans="1:18" s="16" customFormat="1" ht="12" x14ac:dyDescent="0.15">
      <c r="A232" s="13" t="s">
        <v>13</v>
      </c>
      <c r="B232" s="14"/>
      <c r="C232" s="14">
        <f t="shared" ref="C232:F232" si="464">(C231/B231)-1</f>
        <v>-6.5194532071503608E-2</v>
      </c>
      <c r="D232" s="14">
        <f t="shared" si="464"/>
        <v>0.10179977502812143</v>
      </c>
      <c r="E232" s="14">
        <f t="shared" si="464"/>
        <v>0.20980091883614094</v>
      </c>
      <c r="F232" s="14">
        <f t="shared" si="464"/>
        <v>2.3839662447257437E-2</v>
      </c>
      <c r="G232" s="14">
        <f>(G231/F231)-1</f>
        <v>0.11786523799711524</v>
      </c>
      <c r="H232" s="14">
        <f>(H231/G231)-1</f>
        <v>0.11705069124423972</v>
      </c>
      <c r="I232" s="15">
        <v>5.4300000000000001E-2</v>
      </c>
      <c r="J232" s="15">
        <v>6.8699999999999997E-2</v>
      </c>
      <c r="K232" s="15">
        <v>6.4899999999999999E-2</v>
      </c>
      <c r="L232" s="15">
        <v>7.1199999999999999E-2</v>
      </c>
      <c r="M232" s="15">
        <v>8.2299999999999998E-2</v>
      </c>
    </row>
    <row r="233" spans="1:18" s="16" customFormat="1" ht="12" x14ac:dyDescent="0.15">
      <c r="A233" s="13" t="s">
        <v>67</v>
      </c>
      <c r="B233" s="14">
        <f t="shared" ref="B233:H233" si="465">B231/B273</f>
        <v>6.0362747742744263E-2</v>
      </c>
      <c r="C233" s="14">
        <f t="shared" si="465"/>
        <v>6.0746865284088972E-2</v>
      </c>
      <c r="D233" s="14">
        <f t="shared" si="465"/>
        <v>5.7710153039430841E-2</v>
      </c>
      <c r="E233" s="14">
        <f t="shared" si="465"/>
        <v>5.4359044932223217E-2</v>
      </c>
      <c r="F233" s="14">
        <f t="shared" si="465"/>
        <v>4.7143051427017142E-2</v>
      </c>
      <c r="G233" s="14">
        <f t="shared" si="465"/>
        <v>4.6244203491543921E-2</v>
      </c>
      <c r="H233" s="14">
        <f t="shared" si="465"/>
        <v>4.0546508049084024E-2</v>
      </c>
      <c r="I233" s="14">
        <f t="shared" ref="I233:M233" si="466">I231/I273</f>
        <v>4.0118835050960672E-2</v>
      </c>
      <c r="J233" s="14">
        <f t="shared" si="466"/>
        <v>3.8585392900655026E-2</v>
      </c>
      <c r="K233" s="14">
        <f t="shared" si="466"/>
        <v>3.7804848609649853E-2</v>
      </c>
      <c r="L233" s="14">
        <f t="shared" si="466"/>
        <v>3.7216019898645612E-2</v>
      </c>
      <c r="M233" s="14">
        <f t="shared" si="466"/>
        <v>3.7038018948020793E-2</v>
      </c>
    </row>
    <row r="234" spans="1:18" s="16" customFormat="1" ht="24" x14ac:dyDescent="0.15">
      <c r="A234" s="13" t="s">
        <v>36</v>
      </c>
      <c r="B234" s="14">
        <f t="shared" ref="B234:M234" si="467">B231/B203</f>
        <v>2.6565729929046315E-2</v>
      </c>
      <c r="C234" s="14">
        <f t="shared" si="467"/>
        <v>3.6759461219595398E-2</v>
      </c>
      <c r="D234" s="14">
        <f t="shared" si="467"/>
        <v>2.5040903977911852E-2</v>
      </c>
      <c r="E234" s="14">
        <f t="shared" si="467"/>
        <v>2.103497397254803E-2</v>
      </c>
      <c r="F234" s="14">
        <f t="shared" si="467"/>
        <v>1.908165833097417E-2</v>
      </c>
      <c r="G234" s="14">
        <f t="shared" si="467"/>
        <v>2.0256217818750723E-2</v>
      </c>
      <c r="H234" s="14">
        <f t="shared" si="467"/>
        <v>1.863119156615764E-2</v>
      </c>
      <c r="I234" s="14">
        <f t="shared" si="467"/>
        <v>1.8192166850767837E-2</v>
      </c>
      <c r="J234" s="14">
        <f t="shared" si="467"/>
        <v>1.7537745782822169E-2</v>
      </c>
      <c r="K234" s="14">
        <f t="shared" si="467"/>
        <v>1.7007791395772378E-2</v>
      </c>
      <c r="L234" s="14">
        <f t="shared" si="467"/>
        <v>1.6562470331069189E-2</v>
      </c>
      <c r="M234" s="14">
        <f t="shared" si="467"/>
        <v>1.6295991776501099E-2</v>
      </c>
    </row>
    <row r="235" spans="1:18" s="31" customFormat="1" ht="12" x14ac:dyDescent="0.15">
      <c r="A235" s="25" t="s">
        <v>37</v>
      </c>
      <c r="B235" s="17">
        <f t="shared" ref="B235:M235" si="468">B231/B65</f>
        <v>7.4668906995597206</v>
      </c>
      <c r="C235" s="17">
        <f t="shared" si="468"/>
        <v>12.040038205790527</v>
      </c>
      <c r="D235" s="17">
        <f t="shared" si="468"/>
        <v>8.5784099069905935</v>
      </c>
      <c r="E235" s="17">
        <f t="shared" si="468"/>
        <v>7.9966124055463421</v>
      </c>
      <c r="F235" s="17">
        <f t="shared" si="468"/>
        <v>7.3521279964125617</v>
      </c>
      <c r="G235" s="17">
        <f t="shared" si="468"/>
        <v>8.355203173899115</v>
      </c>
      <c r="H235" s="17">
        <f t="shared" si="468"/>
        <v>9.1121105362161288</v>
      </c>
      <c r="I235" s="17">
        <f t="shared" si="468"/>
        <v>9.9283384622923467</v>
      </c>
      <c r="J235" s="17">
        <f t="shared" si="468"/>
        <v>10.355873060282866</v>
      </c>
      <c r="K235" s="17">
        <f t="shared" si="468"/>
        <v>10.463474286538046</v>
      </c>
      <c r="L235" s="17">
        <f t="shared" si="468"/>
        <v>10.581742924507697</v>
      </c>
      <c r="M235" s="17">
        <f t="shared" si="468"/>
        <v>10.781912298787798</v>
      </c>
    </row>
    <row r="236" spans="1:18" s="16" customFormat="1" ht="12" x14ac:dyDescent="0.15">
      <c r="A236" s="13" t="s">
        <v>13</v>
      </c>
      <c r="B236" s="14"/>
      <c r="C236" s="14">
        <f t="shared" ref="C236" si="469">(C235/B235)-1</f>
        <v>0.61245673604147677</v>
      </c>
      <c r="D236" s="14">
        <f t="shared" ref="D236" si="470">(D235/C235)-1</f>
        <v>-0.28750974370954241</v>
      </c>
      <c r="E236" s="14">
        <f t="shared" ref="E236" si="471">(E235/D235)-1</f>
        <v>-6.7821135589492099E-2</v>
      </c>
      <c r="F236" s="14">
        <f t="shared" ref="F236" si="472">(F235/E235)-1</f>
        <v>-8.059467890262817E-2</v>
      </c>
      <c r="G236" s="14">
        <f>(G235/F235)-1</f>
        <v>0.13643331263764713</v>
      </c>
      <c r="H236" s="14">
        <f>(H235/G235)-1</f>
        <v>9.0591137829122204E-2</v>
      </c>
      <c r="I236" s="14">
        <f t="shared" ref="I236:M236" si="473">(I235/H235)-1</f>
        <v>8.9576166008096259E-2</v>
      </c>
      <c r="J236" s="14">
        <f t="shared" si="473"/>
        <v>4.3062049064331198E-2</v>
      </c>
      <c r="K236" s="14">
        <f t="shared" si="473"/>
        <v>1.0390357783339077E-2</v>
      </c>
      <c r="L236" s="14">
        <f t="shared" si="473"/>
        <v>1.1302998863562008E-2</v>
      </c>
      <c r="M236" s="14">
        <f t="shared" si="473"/>
        <v>1.891648433610138E-2</v>
      </c>
    </row>
    <row r="237" spans="1:18" s="12" customFormat="1" ht="12" x14ac:dyDescent="0.15">
      <c r="A237" s="10" t="s">
        <v>56</v>
      </c>
      <c r="B237" s="6">
        <v>480.7</v>
      </c>
      <c r="C237" s="6">
        <v>457.8</v>
      </c>
      <c r="D237" s="6">
        <v>425.1</v>
      </c>
      <c r="E237" s="6">
        <v>626.1</v>
      </c>
      <c r="F237" s="6">
        <v>750.6</v>
      </c>
      <c r="G237" s="6">
        <v>914.8</v>
      </c>
      <c r="H237" s="6">
        <v>1123.9000000000001</v>
      </c>
      <c r="I237" s="11">
        <f>H237*(1+I238)</f>
        <v>1331.25955</v>
      </c>
      <c r="J237" s="11">
        <f t="shared" ref="J237" si="474">I237*(1+J238)</f>
        <v>1455.3329400599998</v>
      </c>
      <c r="K237" s="11">
        <f t="shared" ref="K237" si="475">J237*(1+K238)</f>
        <v>1586.458437959406</v>
      </c>
      <c r="L237" s="11">
        <f t="shared" ref="L237" si="476">K237*(1+L238)</f>
        <v>1752.243344726164</v>
      </c>
      <c r="M237" s="11">
        <f t="shared" ref="M237" si="477">L237*(1+M238)</f>
        <v>1942.7121962978981</v>
      </c>
    </row>
    <row r="238" spans="1:18" s="16" customFormat="1" ht="12" x14ac:dyDescent="0.15">
      <c r="A238" s="13" t="s">
        <v>13</v>
      </c>
      <c r="B238" s="14"/>
      <c r="C238" s="14">
        <f t="shared" ref="C238:F238" si="478">(C237/B237)-1</f>
        <v>-4.7638859995839389E-2</v>
      </c>
      <c r="D238" s="14">
        <f t="shared" si="478"/>
        <v>-7.1428571428571397E-2</v>
      </c>
      <c r="E238" s="14">
        <f t="shared" si="478"/>
        <v>0.47282992237120669</v>
      </c>
      <c r="F238" s="14">
        <f t="shared" si="478"/>
        <v>0.19885002395783413</v>
      </c>
      <c r="G238" s="14">
        <f>(G237/F237)-1</f>
        <v>0.21875832667199568</v>
      </c>
      <c r="H238" s="14">
        <f>(H237/G237)-1</f>
        <v>0.22857455181460451</v>
      </c>
      <c r="I238" s="15">
        <v>0.1845</v>
      </c>
      <c r="J238" s="15">
        <v>9.3200000000000005E-2</v>
      </c>
      <c r="K238" s="15">
        <v>9.01E-2</v>
      </c>
      <c r="L238" s="15">
        <v>0.1045</v>
      </c>
      <c r="M238" s="15">
        <v>0.1087</v>
      </c>
    </row>
    <row r="239" spans="1:18" s="16" customFormat="1" ht="12" x14ac:dyDescent="0.15">
      <c r="A239" s="13" t="s">
        <v>67</v>
      </c>
      <c r="B239" s="14">
        <f t="shared" ref="B239:H239" si="479">B237/B273</f>
        <v>7.6278582649677101E-2</v>
      </c>
      <c r="C239" s="14">
        <f t="shared" si="479"/>
        <v>7.8205610031090916E-2</v>
      </c>
      <c r="D239" s="14">
        <f t="shared" si="479"/>
        <v>6.2615074162996553E-2</v>
      </c>
      <c r="E239" s="14">
        <f t="shared" si="479"/>
        <v>7.1802105552879664E-2</v>
      </c>
      <c r="F239" s="14">
        <f t="shared" si="479"/>
        <v>7.2914845252666532E-2</v>
      </c>
      <c r="G239" s="14">
        <f t="shared" si="479"/>
        <v>7.7980087288597927E-2</v>
      </c>
      <c r="H239" s="14">
        <f t="shared" si="479"/>
        <v>7.5198383492352361E-2</v>
      </c>
      <c r="I239" s="14">
        <f t="shared" ref="I239:M239" si="480">I237/I273</f>
        <v>8.359382916302549E-2</v>
      </c>
      <c r="J239" s="14">
        <f t="shared" si="480"/>
        <v>8.2241807398080027E-2</v>
      </c>
      <c r="K239" s="14">
        <f t="shared" si="480"/>
        <v>8.2484953723881163E-2</v>
      </c>
      <c r="L239" s="14">
        <f t="shared" si="480"/>
        <v>8.3724451931730628E-2</v>
      </c>
      <c r="M239" s="14">
        <f t="shared" si="480"/>
        <v>8.5356485826468931E-2</v>
      </c>
    </row>
    <row r="240" spans="1:18" s="16" customFormat="1" ht="24" x14ac:dyDescent="0.15">
      <c r="A240" s="13" t="s">
        <v>36</v>
      </c>
      <c r="B240" s="14">
        <f t="shared" ref="B240:M240" si="481">B237/B203</f>
        <v>3.3570311190569309E-2</v>
      </c>
      <c r="C240" s="14">
        <f t="shared" si="481"/>
        <v>4.7324188263022419E-2</v>
      </c>
      <c r="D240" s="14">
        <f t="shared" si="481"/>
        <v>2.7169189078637898E-2</v>
      </c>
      <c r="E240" s="14">
        <f t="shared" si="481"/>
        <v>2.7784804228296038E-2</v>
      </c>
      <c r="F240" s="14">
        <f t="shared" si="481"/>
        <v>2.9513069736717933E-2</v>
      </c>
      <c r="G240" s="14">
        <f t="shared" si="481"/>
        <v>3.4157397346715503E-2</v>
      </c>
      <c r="H240" s="14">
        <f t="shared" si="481"/>
        <v>3.4553789110898632E-2</v>
      </c>
      <c r="I240" s="14">
        <f t="shared" si="481"/>
        <v>3.7906207543080855E-2</v>
      </c>
      <c r="J240" s="14">
        <f t="shared" si="481"/>
        <v>3.7380360868189209E-2</v>
      </c>
      <c r="K240" s="14">
        <f t="shared" si="481"/>
        <v>3.71086497584232E-2</v>
      </c>
      <c r="L240" s="14">
        <f t="shared" si="481"/>
        <v>3.7260399013135256E-2</v>
      </c>
      <c r="M240" s="14">
        <f t="shared" si="481"/>
        <v>3.7555156312524637E-2</v>
      </c>
    </row>
    <row r="241" spans="1:18" s="31" customFormat="1" ht="12" x14ac:dyDescent="0.15">
      <c r="A241" s="25" t="s">
        <v>37</v>
      </c>
      <c r="B241" s="17">
        <f t="shared" ref="B241:M241" si="482">B237/B65</f>
        <v>9.4356844355372171</v>
      </c>
      <c r="C241" s="17">
        <f t="shared" si="482"/>
        <v>15.500364146824813</v>
      </c>
      <c r="D241" s="17">
        <f t="shared" si="482"/>
        <v>9.3075090644760117</v>
      </c>
      <c r="E241" s="17">
        <f t="shared" si="482"/>
        <v>10.562613981250138</v>
      </c>
      <c r="F241" s="17">
        <f t="shared" si="482"/>
        <v>11.371331700200431</v>
      </c>
      <c r="G241" s="17">
        <f t="shared" si="482"/>
        <v>14.089105739139004</v>
      </c>
      <c r="H241" s="17">
        <f t="shared" si="482"/>
        <v>16.899506652893248</v>
      </c>
      <c r="I241" s="17">
        <f t="shared" si="482"/>
        <v>20.687236512110236</v>
      </c>
      <c r="J241" s="17">
        <f t="shared" si="482"/>
        <v>22.072749650510641</v>
      </c>
      <c r="K241" s="17">
        <f t="shared" si="482"/>
        <v>22.829854477867329</v>
      </c>
      <c r="L241" s="17">
        <f t="shared" si="482"/>
        <v>23.805625352997986</v>
      </c>
      <c r="M241" s="17">
        <f t="shared" si="482"/>
        <v>24.847607146734028</v>
      </c>
    </row>
    <row r="242" spans="1:18" s="16" customFormat="1" ht="12" x14ac:dyDescent="0.15">
      <c r="A242" s="13" t="s">
        <v>13</v>
      </c>
      <c r="B242" s="14"/>
      <c r="C242" s="14">
        <f t="shared" ref="C242" si="483">(C241/B241)-1</f>
        <v>0.64273871733633348</v>
      </c>
      <c r="D242" s="14">
        <f t="shared" ref="D242" si="484">(D241/C241)-1</f>
        <v>-0.3995296512835399</v>
      </c>
      <c r="E242" s="14">
        <f t="shared" ref="E242" si="485">(E241/D241)-1</f>
        <v>0.13484863759783883</v>
      </c>
      <c r="F242" s="14">
        <f t="shared" ref="F242" si="486">(F241/E241)-1</f>
        <v>7.6564164929804335E-2</v>
      </c>
      <c r="G242" s="14">
        <f>(G241/F241)-1</f>
        <v>0.23900226557375603</v>
      </c>
      <c r="H242" s="14">
        <f>(H241/G241)-1</f>
        <v>0.19947333534072742</v>
      </c>
      <c r="I242" s="14">
        <f t="shared" ref="I242:M242" si="487">(I241/H241)-1</f>
        <v>0.22413257008118137</v>
      </c>
      <c r="J242" s="14">
        <f t="shared" si="487"/>
        <v>6.6974297779663905E-2</v>
      </c>
      <c r="K242" s="14">
        <f t="shared" si="487"/>
        <v>3.4300431044809621E-2</v>
      </c>
      <c r="L242" s="14">
        <f t="shared" si="487"/>
        <v>4.2741002842424214E-2</v>
      </c>
      <c r="M242" s="14">
        <f t="shared" si="487"/>
        <v>4.3770402091319882E-2</v>
      </c>
    </row>
    <row r="243" spans="1:18" s="12" customFormat="1" ht="12" x14ac:dyDescent="0.15">
      <c r="A243" s="10" t="s">
        <v>71</v>
      </c>
      <c r="B243" s="6">
        <v>461.5</v>
      </c>
      <c r="C243" s="6">
        <v>289.10000000000002</v>
      </c>
      <c r="D243" s="6">
        <v>526.20000000000005</v>
      </c>
      <c r="E243" s="6">
        <v>756.6</v>
      </c>
      <c r="F243" s="6">
        <v>851.3</v>
      </c>
      <c r="G243" s="6">
        <v>845.2</v>
      </c>
      <c r="H243" s="6">
        <v>971.8</v>
      </c>
      <c r="I243" s="11">
        <v>34.9</v>
      </c>
      <c r="J243" s="11">
        <v>0</v>
      </c>
      <c r="K243" s="11">
        <v>0</v>
      </c>
      <c r="L243" s="11">
        <v>0</v>
      </c>
      <c r="M243" s="11">
        <v>0</v>
      </c>
    </row>
    <row r="244" spans="1:18" s="16" customFormat="1" ht="12" x14ac:dyDescent="0.15">
      <c r="A244" s="13" t="s">
        <v>13</v>
      </c>
      <c r="B244" s="14"/>
      <c r="C244" s="14">
        <f t="shared" ref="C244:F244" si="488">(C243/B243)-1</f>
        <v>-0.37356446370530871</v>
      </c>
      <c r="D244" s="14">
        <f t="shared" si="488"/>
        <v>0.82013144240747149</v>
      </c>
      <c r="E244" s="14">
        <f t="shared" si="488"/>
        <v>0.43785632839224631</v>
      </c>
      <c r="F244" s="14">
        <f t="shared" si="488"/>
        <v>0.12516521279407877</v>
      </c>
      <c r="G244" s="14">
        <f>(G243/F243)-1</f>
        <v>-7.1655115705390182E-3</v>
      </c>
      <c r="H244" s="14">
        <f>(H243/G243)-1</f>
        <v>0.14978703265499282</v>
      </c>
      <c r="I244" s="14">
        <f t="shared" ref="I244" si="489">(I243/H243)-1</f>
        <v>-0.96408726075324136</v>
      </c>
      <c r="J244" s="14"/>
      <c r="K244" s="14"/>
      <c r="L244" s="14"/>
      <c r="M244" s="14"/>
    </row>
    <row r="245" spans="1:18" s="16" customFormat="1" ht="12" x14ac:dyDescent="0.15">
      <c r="A245" s="13" t="s">
        <v>67</v>
      </c>
      <c r="B245" s="14">
        <f t="shared" ref="B245:H245" si="490">B243/B273</f>
        <v>7.323188244815057E-2</v>
      </c>
      <c r="C245" s="14">
        <f t="shared" si="490"/>
        <v>4.9386723154190446E-2</v>
      </c>
      <c r="D245" s="14">
        <f t="shared" si="490"/>
        <v>7.7506591448056439E-2</v>
      </c>
      <c r="E245" s="14">
        <f t="shared" si="490"/>
        <v>8.6768045138649982E-2</v>
      </c>
      <c r="F245" s="14">
        <f t="shared" si="490"/>
        <v>8.269705270929259E-2</v>
      </c>
      <c r="G245" s="14">
        <f t="shared" si="490"/>
        <v>7.2047190398254232E-2</v>
      </c>
      <c r="H245" s="14">
        <f t="shared" si="490"/>
        <v>6.5021611422607012E-2</v>
      </c>
      <c r="I245" s="14">
        <f t="shared" ref="I245:M245" si="491">I243/I273</f>
        <v>2.1914769646456918E-3</v>
      </c>
      <c r="J245" s="14">
        <f t="shared" si="491"/>
        <v>0</v>
      </c>
      <c r="K245" s="14">
        <f t="shared" si="491"/>
        <v>0</v>
      </c>
      <c r="L245" s="14">
        <f t="shared" si="491"/>
        <v>0</v>
      </c>
      <c r="M245" s="14">
        <f t="shared" si="491"/>
        <v>0</v>
      </c>
    </row>
    <row r="246" spans="1:18" s="16" customFormat="1" ht="24" x14ac:dyDescent="0.15">
      <c r="A246" s="13" t="s">
        <v>36</v>
      </c>
      <c r="B246" s="14">
        <f t="shared" ref="B246:M246" si="492">B243/B203</f>
        <v>3.2229454159450249E-2</v>
      </c>
      <c r="C246" s="14">
        <f t="shared" si="492"/>
        <v>2.9885152526954527E-2</v>
      </c>
      <c r="D246" s="14">
        <f t="shared" si="492"/>
        <v>3.3630739339400757E-2</v>
      </c>
      <c r="E246" s="14">
        <f t="shared" si="492"/>
        <v>3.3576078708079833E-2</v>
      </c>
      <c r="F246" s="14">
        <f t="shared" si="492"/>
        <v>3.3472523670221119E-2</v>
      </c>
      <c r="G246" s="14">
        <f t="shared" si="492"/>
        <v>3.1558627281858272E-2</v>
      </c>
      <c r="H246" s="14">
        <f t="shared" si="492"/>
        <v>2.9877544495036292E-2</v>
      </c>
      <c r="I246" s="14">
        <f t="shared" si="492"/>
        <v>9.9374058443638721E-4</v>
      </c>
      <c r="J246" s="14">
        <f t="shared" si="492"/>
        <v>0</v>
      </c>
      <c r="K246" s="14">
        <f t="shared" si="492"/>
        <v>0</v>
      </c>
      <c r="L246" s="14">
        <f t="shared" si="492"/>
        <v>0</v>
      </c>
      <c r="M246" s="14">
        <f t="shared" si="492"/>
        <v>0</v>
      </c>
    </row>
    <row r="247" spans="1:18" s="31" customFormat="1" ht="12" x14ac:dyDescent="0.15">
      <c r="A247" s="25" t="s">
        <v>37</v>
      </c>
      <c r="B247" s="17">
        <f t="shared" ref="B247:M247" si="493">B243/B65</f>
        <v>9.0588066715215856</v>
      </c>
      <c r="C247" s="17">
        <f t="shared" si="493"/>
        <v>9.7884562578572591</v>
      </c>
      <c r="D247" s="17">
        <f t="shared" si="493"/>
        <v>11.521080380445255</v>
      </c>
      <c r="E247" s="17">
        <f t="shared" si="493"/>
        <v>12.764212966321439</v>
      </c>
      <c r="F247" s="17">
        <f t="shared" si="493"/>
        <v>12.896902046870006</v>
      </c>
      <c r="G247" s="17">
        <f t="shared" si="493"/>
        <v>13.017175525492224</v>
      </c>
      <c r="H247" s="17">
        <f t="shared" si="493"/>
        <v>14.612457127219198</v>
      </c>
      <c r="I247" s="17">
        <f t="shared" si="493"/>
        <v>0.54233192488470583</v>
      </c>
      <c r="J247" s="17">
        <f t="shared" si="493"/>
        <v>0</v>
      </c>
      <c r="K247" s="17">
        <f t="shared" si="493"/>
        <v>0</v>
      </c>
      <c r="L247" s="17">
        <f t="shared" si="493"/>
        <v>0</v>
      </c>
      <c r="M247" s="17">
        <f t="shared" si="493"/>
        <v>0</v>
      </c>
    </row>
    <row r="248" spans="1:18" s="12" customFormat="1" ht="12" x14ac:dyDescent="0.15">
      <c r="A248" s="10" t="s">
        <v>72</v>
      </c>
      <c r="B248" s="6">
        <v>1318.2</v>
      </c>
      <c r="C248" s="6">
        <v>908.3</v>
      </c>
      <c r="D248" s="6">
        <v>1231</v>
      </c>
      <c r="E248" s="6">
        <v>1895.2</v>
      </c>
      <c r="F248" s="6">
        <v>2532.9</v>
      </c>
      <c r="G248" s="6">
        <v>2666.8</v>
      </c>
      <c r="H248" s="6">
        <v>3817.8</v>
      </c>
      <c r="I248" s="11">
        <f>I251*I203</f>
        <v>3708.6540066090233</v>
      </c>
      <c r="J248" s="11">
        <f>J251*J203</f>
        <v>4119.1208827890277</v>
      </c>
      <c r="K248" s="11">
        <f>K251*K203</f>
        <v>4561.6080464324978</v>
      </c>
      <c r="L248" s="11">
        <f>L251*L203</f>
        <v>5055.3983464229323</v>
      </c>
      <c r="M248" s="11">
        <f>M251*M203</f>
        <v>5576.4479587872311</v>
      </c>
      <c r="O248" s="29">
        <f>(H248/B248)^(1/6)-1</f>
        <v>0.19391106643633416</v>
      </c>
      <c r="P248" s="29">
        <f>(H248/E248)^(1/3)-1</f>
        <v>0.26294966477677484</v>
      </c>
      <c r="Q248" s="29">
        <f>(M248/H248)^(1/5)-1</f>
        <v>7.8720410209394132E-2</v>
      </c>
      <c r="R248" s="29">
        <f>(M248/I248)^(1/4)-1</f>
        <v>0.10735108063581644</v>
      </c>
    </row>
    <row r="249" spans="1:18" s="16" customFormat="1" ht="12" x14ac:dyDescent="0.15">
      <c r="A249" s="13" t="s">
        <v>13</v>
      </c>
      <c r="B249" s="14"/>
      <c r="C249" s="14">
        <f t="shared" ref="C249:F249" si="494">(C248/B248)-1</f>
        <v>-0.3109543316643909</v>
      </c>
      <c r="D249" s="14">
        <f t="shared" si="494"/>
        <v>0.35527909281074543</v>
      </c>
      <c r="E249" s="14">
        <f t="shared" si="494"/>
        <v>0.53956133225020309</v>
      </c>
      <c r="F249" s="14">
        <f t="shared" si="494"/>
        <v>0.3364816378218658</v>
      </c>
      <c r="G249" s="14">
        <f>(G248/F248)-1</f>
        <v>5.2864305736507688E-2</v>
      </c>
      <c r="H249" s="14">
        <f>(H248/G248)-1</f>
        <v>0.43160341982900863</v>
      </c>
      <c r="I249" s="14">
        <f t="shared" ref="I249:M249" si="495">(I248/H248)-1</f>
        <v>-2.8588714283350858E-2</v>
      </c>
      <c r="J249" s="14">
        <f t="shared" si="495"/>
        <v>0.11067812620118511</v>
      </c>
      <c r="K249" s="14">
        <f t="shared" si="495"/>
        <v>0.10742271864181485</v>
      </c>
      <c r="L249" s="14">
        <f t="shared" si="495"/>
        <v>0.10824917330997197</v>
      </c>
      <c r="M249" s="14">
        <f t="shared" si="495"/>
        <v>0.10306796352318703</v>
      </c>
    </row>
    <row r="250" spans="1:18" s="16" customFormat="1" ht="12" x14ac:dyDescent="0.15">
      <c r="A250" s="13" t="s">
        <v>67</v>
      </c>
      <c r="B250" s="14">
        <f t="shared" ref="B250:M250" si="496">B248/B273</f>
        <v>0.20917501071105546</v>
      </c>
      <c r="C250" s="14">
        <f t="shared" si="496"/>
        <v>0.1551641668659674</v>
      </c>
      <c r="D250" s="14">
        <f t="shared" si="496"/>
        <v>0.18132005715043228</v>
      </c>
      <c r="E250" s="14">
        <f t="shared" si="496"/>
        <v>0.21734443450537858</v>
      </c>
      <c r="F250" s="14">
        <f t="shared" si="496"/>
        <v>0.24605117444774721</v>
      </c>
      <c r="G250" s="14">
        <f t="shared" si="496"/>
        <v>0.22732542280414625</v>
      </c>
      <c r="H250" s="14">
        <f t="shared" si="496"/>
        <v>0.25544300070922932</v>
      </c>
      <c r="I250" s="14">
        <f t="shared" si="496"/>
        <v>0.23287764542477438</v>
      </c>
      <c r="J250" s="14">
        <f t="shared" si="496"/>
        <v>0.23277418999241384</v>
      </c>
      <c r="K250" s="14">
        <f t="shared" si="496"/>
        <v>0.23717232019039902</v>
      </c>
      <c r="L250" s="14">
        <f t="shared" si="496"/>
        <v>0.2415534675162275</v>
      </c>
      <c r="M250" s="14">
        <f t="shared" si="496"/>
        <v>0.24501107372637071</v>
      </c>
    </row>
    <row r="251" spans="1:18" s="16" customFormat="1" ht="24" x14ac:dyDescent="0.15">
      <c r="A251" s="13" t="s">
        <v>36</v>
      </c>
      <c r="B251" s="14">
        <f t="shared" ref="B251:H251" si="497">B248/B203</f>
        <v>9.205821554276776E-2</v>
      </c>
      <c r="C251" s="14">
        <f t="shared" si="497"/>
        <v>9.3893753165800051E-2</v>
      </c>
      <c r="D251" s="14">
        <f t="shared" si="497"/>
        <v>7.86762450148277E-2</v>
      </c>
      <c r="E251" s="14">
        <f t="shared" si="497"/>
        <v>8.4104393824415674E-2</v>
      </c>
      <c r="F251" s="14">
        <f t="shared" si="497"/>
        <v>9.9591865622345926E-2</v>
      </c>
      <c r="G251" s="14">
        <f t="shared" si="497"/>
        <v>9.9574712772432128E-2</v>
      </c>
      <c r="H251" s="14">
        <f t="shared" si="497"/>
        <v>0.11737650686679313</v>
      </c>
      <c r="I251" s="15">
        <v>0.1056</v>
      </c>
      <c r="J251" s="15">
        <v>0.10580000000000001</v>
      </c>
      <c r="K251" s="15">
        <v>0.1067</v>
      </c>
      <c r="L251" s="15">
        <v>0.1075</v>
      </c>
      <c r="M251" s="15">
        <v>0.10780000000000001</v>
      </c>
    </row>
    <row r="252" spans="1:18" s="31" customFormat="1" ht="12" x14ac:dyDescent="0.15">
      <c r="A252" s="25" t="s">
        <v>37</v>
      </c>
      <c r="B252" s="17">
        <f t="shared" ref="B252:M252" si="498">B248/B65</f>
        <v>25.875013985698278</v>
      </c>
      <c r="C252" s="17">
        <f t="shared" si="498"/>
        <v>30.753562155004317</v>
      </c>
      <c r="D252" s="17">
        <f t="shared" si="498"/>
        <v>26.952584470406894</v>
      </c>
      <c r="E252" s="17">
        <f t="shared" si="498"/>
        <v>31.972953229939723</v>
      </c>
      <c r="F252" s="17">
        <f t="shared" si="498"/>
        <v>38.372563367223115</v>
      </c>
      <c r="G252" s="17">
        <f t="shared" si="498"/>
        <v>41.072176634385549</v>
      </c>
      <c r="H252" s="17">
        <f t="shared" si="498"/>
        <v>57.40629637816162</v>
      </c>
      <c r="I252" s="17">
        <f t="shared" si="498"/>
        <v>57.63098756835668</v>
      </c>
      <c r="J252" s="17">
        <f t="shared" si="498"/>
        <v>62.473899630310143</v>
      </c>
      <c r="K252" s="17">
        <f t="shared" si="498"/>
        <v>65.643603004863166</v>
      </c>
      <c r="L252" s="17">
        <f t="shared" si="498"/>
        <v>68.681624277430117</v>
      </c>
      <c r="M252" s="17">
        <f t="shared" si="498"/>
        <v>71.323682642338653</v>
      </c>
    </row>
    <row r="253" spans="1:18" s="12" customFormat="1" ht="12" x14ac:dyDescent="0.15">
      <c r="A253" s="10" t="s">
        <v>73</v>
      </c>
      <c r="B253" s="6">
        <v>446.5</v>
      </c>
      <c r="C253" s="6">
        <v>495.3</v>
      </c>
      <c r="D253" s="6">
        <v>546.1</v>
      </c>
      <c r="E253" s="6">
        <v>728.9</v>
      </c>
      <c r="F253" s="6">
        <v>851.6</v>
      </c>
      <c r="G253" s="6">
        <v>1214.0999999999999</v>
      </c>
      <c r="H253" s="6">
        <v>1328.3</v>
      </c>
      <c r="I253" s="11">
        <f>H253*(1+I254)</f>
        <v>1446.12021</v>
      </c>
      <c r="J253" s="11">
        <f t="shared" ref="J253:M253" si="499">I253*(1+J254)</f>
        <v>1588.8522747270001</v>
      </c>
      <c r="K253" s="11">
        <f t="shared" si="499"/>
        <v>1748.0552726546457</v>
      </c>
      <c r="L253" s="11">
        <f t="shared" si="499"/>
        <v>1916.7426064658191</v>
      </c>
      <c r="M253" s="11">
        <f t="shared" si="499"/>
        <v>2099.4081768620117</v>
      </c>
      <c r="O253" s="29">
        <f>(H253/B253)^(1/6)-1</f>
        <v>0.19925752320300694</v>
      </c>
      <c r="P253" s="29">
        <f>(H253/E253)^(1/3)-1</f>
        <v>0.22145106956436234</v>
      </c>
      <c r="Q253" s="29">
        <f>(M253/H253)^(1/5)-1</f>
        <v>9.58727864836042E-2</v>
      </c>
      <c r="R253" s="29">
        <f>(M253/I253)^(1/4)-1</f>
        <v>9.7673354908024645E-2</v>
      </c>
    </row>
    <row r="254" spans="1:18" s="16" customFormat="1" ht="12" x14ac:dyDescent="0.15">
      <c r="A254" s="13" t="s">
        <v>13</v>
      </c>
      <c r="B254" s="14"/>
      <c r="C254" s="14">
        <f t="shared" ref="C254:F254" si="500">(C253/B253)-1</f>
        <v>0.10929451287793945</v>
      </c>
      <c r="D254" s="14">
        <f t="shared" si="500"/>
        <v>0.10256410256410264</v>
      </c>
      <c r="E254" s="14">
        <f t="shared" si="500"/>
        <v>0.33473722761398994</v>
      </c>
      <c r="F254" s="14">
        <f t="shared" si="500"/>
        <v>0.16833584853889438</v>
      </c>
      <c r="G254" s="14">
        <f>(G253/F253)-1</f>
        <v>0.42566932832315629</v>
      </c>
      <c r="H254" s="14">
        <f>(H253/G253)-1</f>
        <v>9.4061444691541096E-2</v>
      </c>
      <c r="I254" s="15">
        <v>8.8700000000000001E-2</v>
      </c>
      <c r="J254" s="15">
        <v>9.8699999999999996E-2</v>
      </c>
      <c r="K254" s="15">
        <v>0.1002</v>
      </c>
      <c r="L254" s="15">
        <v>9.6500000000000002E-2</v>
      </c>
      <c r="M254" s="15">
        <v>9.5299999999999996E-2</v>
      </c>
    </row>
    <row r="255" spans="1:18" s="16" customFormat="1" ht="12" x14ac:dyDescent="0.15">
      <c r="A255" s="13" t="s">
        <v>67</v>
      </c>
      <c r="B255" s="14">
        <f t="shared" ref="B255:H255" si="501">B253/B273</f>
        <v>7.0851647915707971E-2</v>
      </c>
      <c r="C255" s="14">
        <f t="shared" si="501"/>
        <v>8.4611705217123925E-2</v>
      </c>
      <c r="D255" s="14">
        <f t="shared" si="501"/>
        <v>8.0437760527905008E-2</v>
      </c>
      <c r="E255" s="14">
        <f t="shared" si="501"/>
        <v>8.359136677446731E-2</v>
      </c>
      <c r="F255" s="14">
        <f t="shared" si="501"/>
        <v>8.2726195333294464E-2</v>
      </c>
      <c r="G255" s="14">
        <f t="shared" si="501"/>
        <v>0.1034932487725041</v>
      </c>
      <c r="H255" s="14">
        <f t="shared" si="501"/>
        <v>8.8874466405277727E-2</v>
      </c>
      <c r="I255" s="14">
        <f t="shared" ref="I255:M255" si="502">I253/I273</f>
        <v>9.0806278748526953E-2</v>
      </c>
      <c r="J255" s="14">
        <f t="shared" si="502"/>
        <v>8.9787071511424787E-2</v>
      </c>
      <c r="K255" s="14">
        <f t="shared" si="502"/>
        <v>9.088688037561711E-2</v>
      </c>
      <c r="L255" s="14">
        <f t="shared" si="502"/>
        <v>9.1584439286671482E-2</v>
      </c>
      <c r="M255" s="14">
        <f t="shared" si="502"/>
        <v>9.224120002632484E-2</v>
      </c>
    </row>
    <row r="256" spans="1:18" s="16" customFormat="1" ht="24" x14ac:dyDescent="0.15">
      <c r="A256" s="13" t="s">
        <v>36</v>
      </c>
      <c r="B256" s="14">
        <f t="shared" ref="B256:M256" si="503">B253/B203</f>
        <v>3.1181909603888489E-2</v>
      </c>
      <c r="C256" s="14">
        <f t="shared" si="503"/>
        <v>5.1200678127293585E-2</v>
      </c>
      <c r="D256" s="14">
        <f t="shared" si="503"/>
        <v>3.4902597402597407E-2</v>
      </c>
      <c r="E256" s="14">
        <f t="shared" si="503"/>
        <v>3.2346819680570169E-2</v>
      </c>
      <c r="F256" s="14">
        <f t="shared" si="503"/>
        <v>3.3484319461482802E-2</v>
      </c>
      <c r="G256" s="14">
        <f t="shared" si="503"/>
        <v>4.5332855398608755E-2</v>
      </c>
      <c r="H256" s="14">
        <f t="shared" si="503"/>
        <v>4.0837973196909558E-2</v>
      </c>
      <c r="I256" s="14">
        <f t="shared" si="503"/>
        <v>4.1176743342426103E-2</v>
      </c>
      <c r="J256" s="14">
        <f t="shared" si="503"/>
        <v>4.0809817300699582E-2</v>
      </c>
      <c r="K256" s="14">
        <f t="shared" si="503"/>
        <v>4.0888540991179785E-2</v>
      </c>
      <c r="L256" s="14">
        <f t="shared" si="503"/>
        <v>4.0758376704552082E-2</v>
      </c>
      <c r="M256" s="14">
        <f t="shared" si="503"/>
        <v>4.0584293646836835E-2</v>
      </c>
    </row>
    <row r="257" spans="1:18" s="31" customFormat="1" ht="12" x14ac:dyDescent="0.15">
      <c r="A257" s="25" t="s">
        <v>37</v>
      </c>
      <c r="B257" s="17">
        <f t="shared" ref="B257:M257" si="504">B253/B65</f>
        <v>8.7643709183843725</v>
      </c>
      <c r="C257" s="17">
        <f t="shared" si="504"/>
        <v>16.770053215208232</v>
      </c>
      <c r="D257" s="17">
        <f t="shared" si="504"/>
        <v>11.956788285368972</v>
      </c>
      <c r="E257" s="17">
        <f t="shared" si="504"/>
        <v>12.296900384815883</v>
      </c>
      <c r="F257" s="17">
        <f t="shared" si="504"/>
        <v>12.901446943632676</v>
      </c>
      <c r="G257" s="17">
        <f t="shared" si="504"/>
        <v>18.69871368374362</v>
      </c>
      <c r="H257" s="17">
        <f t="shared" si="504"/>
        <v>19.972964398112019</v>
      </c>
      <c r="I257" s="17">
        <f t="shared" si="504"/>
        <v>22.472124845386105</v>
      </c>
      <c r="J257" s="17">
        <f t="shared" si="504"/>
        <v>24.09781124740265</v>
      </c>
      <c r="K257" s="17">
        <f t="shared" si="504"/>
        <v>25.155306019429052</v>
      </c>
      <c r="L257" s="17">
        <f t="shared" si="504"/>
        <v>26.040479209116334</v>
      </c>
      <c r="M257" s="17">
        <f t="shared" si="504"/>
        <v>26.851774400097135</v>
      </c>
    </row>
    <row r="258" spans="1:18" s="12" customFormat="1" ht="12" x14ac:dyDescent="0.15">
      <c r="A258" s="10" t="s">
        <v>74</v>
      </c>
      <c r="B258" s="6">
        <v>1329.6</v>
      </c>
      <c r="C258" s="6">
        <v>1505.1</v>
      </c>
      <c r="D258" s="6">
        <v>1504.4</v>
      </c>
      <c r="E258" s="6">
        <v>1584.5</v>
      </c>
      <c r="F258" s="6">
        <v>1694.1</v>
      </c>
      <c r="G258" s="6">
        <v>1846.9</v>
      </c>
      <c r="H258" s="6">
        <v>2423.6</v>
      </c>
      <c r="I258" s="11">
        <f>H258*(1+I259)</f>
        <v>2649.9642399999998</v>
      </c>
      <c r="J258" s="11">
        <f t="shared" ref="J258" si="505">I258*(1+J259)</f>
        <v>2764.4426951679993</v>
      </c>
      <c r="K258" s="11">
        <f t="shared" ref="K258" si="506">J258*(1+K259)</f>
        <v>2899.0710544226808</v>
      </c>
      <c r="L258" s="11">
        <f t="shared" ref="L258" si="507">K258*(1+L259)</f>
        <v>3050.6924705689871</v>
      </c>
      <c r="M258" s="11">
        <f t="shared" ref="M258" si="508">L258*(1+M259)</f>
        <v>3205.9727173209485</v>
      </c>
      <c r="O258" s="29">
        <f>(H258/B258)^(1/6)-1</f>
        <v>0.10524015790758323</v>
      </c>
      <c r="P258" s="29">
        <f>(H258/E258)^(1/3)-1</f>
        <v>0.15218681237504272</v>
      </c>
      <c r="Q258" s="29">
        <f>(M258/H258)^(1/5)-1</f>
        <v>5.7547238837647452E-2</v>
      </c>
      <c r="R258" s="29">
        <f>(M258/I258)^(1/4)-1</f>
        <v>4.8769266633544417E-2</v>
      </c>
    </row>
    <row r="259" spans="1:18" s="16" customFormat="1" ht="12" x14ac:dyDescent="0.15">
      <c r="A259" s="13" t="s">
        <v>13</v>
      </c>
      <c r="B259" s="14"/>
      <c r="C259" s="14">
        <f t="shared" ref="C259:F259" si="509">(C258/B258)-1</f>
        <v>0.13199458483754523</v>
      </c>
      <c r="D259" s="14">
        <f t="shared" si="509"/>
        <v>-4.6508537638678682E-4</v>
      </c>
      <c r="E259" s="14">
        <f t="shared" si="509"/>
        <v>5.3243818133475118E-2</v>
      </c>
      <c r="F259" s="14">
        <f t="shared" si="509"/>
        <v>6.9170085200378706E-2</v>
      </c>
      <c r="G259" s="14">
        <f>(G258/F258)-1</f>
        <v>9.0195383979694288E-2</v>
      </c>
      <c r="H259" s="14">
        <f>(H258/G258)-1</f>
        <v>0.31225296442687744</v>
      </c>
      <c r="I259" s="15">
        <v>9.3399999999999997E-2</v>
      </c>
      <c r="J259" s="15">
        <v>4.3200000000000002E-2</v>
      </c>
      <c r="K259" s="15">
        <v>4.87E-2</v>
      </c>
      <c r="L259" s="15">
        <v>5.2299999999999999E-2</v>
      </c>
      <c r="M259" s="15">
        <v>5.0900000000000001E-2</v>
      </c>
    </row>
    <row r="260" spans="1:18" s="16" customFormat="1" ht="12" x14ac:dyDescent="0.15">
      <c r="A260" s="13" t="s">
        <v>67</v>
      </c>
      <c r="B260" s="14">
        <f t="shared" ref="B260:H260" si="510">B258/B273</f>
        <v>0.2109839889557118</v>
      </c>
      <c r="C260" s="14">
        <f t="shared" si="510"/>
        <v>0.25711503638662064</v>
      </c>
      <c r="D260" s="14">
        <f t="shared" si="510"/>
        <v>0.22159049063940725</v>
      </c>
      <c r="E260" s="14">
        <f t="shared" si="510"/>
        <v>0.181712883323012</v>
      </c>
      <c r="F260" s="14">
        <f t="shared" si="510"/>
        <v>0.16456839773853232</v>
      </c>
      <c r="G260" s="14">
        <f t="shared" si="510"/>
        <v>0.15743487452264049</v>
      </c>
      <c r="H260" s="14">
        <f t="shared" si="510"/>
        <v>0.16215926882468651</v>
      </c>
      <c r="I260" s="14">
        <f t="shared" ref="I260:M260" si="511">I258/I273</f>
        <v>0.16639930054712973</v>
      </c>
      <c r="J260" s="14">
        <f t="shared" si="511"/>
        <v>0.15622044787199185</v>
      </c>
      <c r="K260" s="14">
        <f t="shared" si="511"/>
        <v>0.15073180364805561</v>
      </c>
      <c r="L260" s="14">
        <f t="shared" si="511"/>
        <v>0.14576602951832682</v>
      </c>
      <c r="M260" s="14">
        <f t="shared" si="511"/>
        <v>0.14086006425837544</v>
      </c>
    </row>
    <row r="261" spans="1:18" s="16" customFormat="1" ht="24" x14ac:dyDescent="0.15">
      <c r="A261" s="13" t="s">
        <v>36</v>
      </c>
      <c r="B261" s="14">
        <f t="shared" ref="B261:M261" si="512">B258/B203</f>
        <v>9.2854349404994693E-2</v>
      </c>
      <c r="C261" s="14">
        <f t="shared" si="512"/>
        <v>0.15558679719238758</v>
      </c>
      <c r="D261" s="14">
        <f t="shared" si="512"/>
        <v>9.6149913079046939E-2</v>
      </c>
      <c r="E261" s="14">
        <f t="shared" si="512"/>
        <v>7.0316279028485973E-2</v>
      </c>
      <c r="F261" s="14">
        <f t="shared" si="512"/>
        <v>6.6610833254694704E-2</v>
      </c>
      <c r="G261" s="14">
        <f t="shared" si="512"/>
        <v>6.8960753344609604E-2</v>
      </c>
      <c r="H261" s="14">
        <f t="shared" si="512"/>
        <v>7.4512468448415262E-2</v>
      </c>
      <c r="I261" s="14">
        <f t="shared" si="512"/>
        <v>7.5454928727596737E-2</v>
      </c>
      <c r="J261" s="14">
        <f t="shared" si="512"/>
        <v>7.100496573694616E-2</v>
      </c>
      <c r="K261" s="14">
        <f t="shared" si="512"/>
        <v>6.7811806353862178E-2</v>
      </c>
      <c r="L261" s="14">
        <f t="shared" si="512"/>
        <v>6.4871137369068965E-2</v>
      </c>
      <c r="M261" s="14">
        <f t="shared" si="512"/>
        <v>6.1975627044560527E-2</v>
      </c>
    </row>
    <row r="262" spans="1:18" s="31" customFormat="1" ht="12" x14ac:dyDescent="0.15">
      <c r="A262" s="25" t="s">
        <v>37</v>
      </c>
      <c r="B262" s="17">
        <f t="shared" ref="B262:M262" si="513">B258/B65</f>
        <v>26.098785158082556</v>
      </c>
      <c r="C262" s="17">
        <f t="shared" si="513"/>
        <v>50.960240448637009</v>
      </c>
      <c r="D262" s="17">
        <f t="shared" si="513"/>
        <v>32.938641817449337</v>
      </c>
      <c r="E262" s="17">
        <f t="shared" si="513"/>
        <v>26.731291891536245</v>
      </c>
      <c r="F262" s="17">
        <f t="shared" si="513"/>
        <v>25.665032018797692</v>
      </c>
      <c r="G262" s="17">
        <f t="shared" si="513"/>
        <v>28.444653902072396</v>
      </c>
      <c r="H262" s="17">
        <f t="shared" si="513"/>
        <v>36.442427550451171</v>
      </c>
      <c r="I262" s="17">
        <f t="shared" si="513"/>
        <v>41.179375563175832</v>
      </c>
      <c r="J262" s="17">
        <f t="shared" si="513"/>
        <v>41.927760895118951</v>
      </c>
      <c r="K262" s="17">
        <f t="shared" si="513"/>
        <v>41.718943723857414</v>
      </c>
      <c r="L262" s="17">
        <f t="shared" si="513"/>
        <v>41.446093797506514</v>
      </c>
      <c r="M262" s="17">
        <f t="shared" si="513"/>
        <v>41.004916093563779</v>
      </c>
    </row>
    <row r="263" spans="1:18" s="12" customFormat="1" ht="12" x14ac:dyDescent="0.15">
      <c r="A263" s="10" t="s">
        <v>75</v>
      </c>
      <c r="B263" s="6">
        <v>1.2</v>
      </c>
      <c r="C263" s="6">
        <v>-12.7</v>
      </c>
      <c r="D263" s="6">
        <v>-8.1999999999999993</v>
      </c>
      <c r="E263" s="6">
        <v>-26.5</v>
      </c>
      <c r="F263" s="6">
        <v>-15.9</v>
      </c>
      <c r="G263" s="6">
        <v>-105.1</v>
      </c>
      <c r="H263" s="6">
        <v>-86.4</v>
      </c>
      <c r="I263" s="11">
        <f t="shared" ref="I263:J263" si="514">H263*(1+I264)</f>
        <v>0</v>
      </c>
      <c r="J263" s="11">
        <f t="shared" si="514"/>
        <v>0</v>
      </c>
      <c r="K263" s="11">
        <f t="shared" ref="K263" si="515">J263*(1+K264)</f>
        <v>0</v>
      </c>
      <c r="L263" s="11">
        <f t="shared" ref="L263" si="516">K263*(1+L264)</f>
        <v>0</v>
      </c>
      <c r="M263" s="11">
        <f t="shared" ref="M263" si="517">L263*(1+M264)</f>
        <v>0</v>
      </c>
    </row>
    <row r="264" spans="1:18" s="16" customFormat="1" ht="12" x14ac:dyDescent="0.15">
      <c r="A264" s="13" t="s">
        <v>13</v>
      </c>
      <c r="B264" s="14"/>
      <c r="C264" s="14">
        <f t="shared" ref="C264:F264" si="518">(C263/B263)-1</f>
        <v>-11.583333333333334</v>
      </c>
      <c r="D264" s="14">
        <f t="shared" si="518"/>
        <v>-0.35433070866141736</v>
      </c>
      <c r="E264" s="14">
        <f t="shared" si="518"/>
        <v>2.2317073170731709</v>
      </c>
      <c r="F264" s="14">
        <f t="shared" si="518"/>
        <v>-0.4</v>
      </c>
      <c r="G264" s="14">
        <f>(G263/F263)-1</f>
        <v>5.6100628930817606</v>
      </c>
      <c r="H264" s="14">
        <f>(H263/G263)-1</f>
        <v>-0.17792578496669831</v>
      </c>
      <c r="I264" s="15">
        <v>-1</v>
      </c>
      <c r="J264" s="15">
        <v>0</v>
      </c>
      <c r="K264" s="15">
        <v>0</v>
      </c>
      <c r="L264" s="15">
        <v>0</v>
      </c>
      <c r="M264" s="15">
        <v>0</v>
      </c>
    </row>
    <row r="265" spans="1:18" s="16" customFormat="1" ht="12" x14ac:dyDescent="0.15">
      <c r="A265" s="13" t="s">
        <v>67</v>
      </c>
      <c r="B265" s="14">
        <f t="shared" ref="B265:H265" si="519">B263/B273</f>
        <v>1.9041876259540775E-4</v>
      </c>
      <c r="C265" s="14">
        <f t="shared" si="519"/>
        <v>-2.1695309030031773E-3</v>
      </c>
      <c r="D265" s="14">
        <f t="shared" si="519"/>
        <v>-1.2078184148119778E-3</v>
      </c>
      <c r="E265" s="14">
        <f t="shared" si="519"/>
        <v>-3.039060528911214E-3</v>
      </c>
      <c r="F265" s="14">
        <f t="shared" si="519"/>
        <v>-1.5445590720988514E-3</v>
      </c>
      <c r="G265" s="14">
        <f t="shared" si="519"/>
        <v>-8.9590152755046372E-3</v>
      </c>
      <c r="H265" s="14">
        <f t="shared" si="519"/>
        <v>-5.7808882763050488E-3</v>
      </c>
      <c r="I265" s="14">
        <f t="shared" ref="I265:M265" si="520">I263/I273</f>
        <v>0</v>
      </c>
      <c r="J265" s="14">
        <f t="shared" si="520"/>
        <v>0</v>
      </c>
      <c r="K265" s="14">
        <f t="shared" si="520"/>
        <v>0</v>
      </c>
      <c r="L265" s="14">
        <f t="shared" si="520"/>
        <v>0</v>
      </c>
      <c r="M265" s="14">
        <f t="shared" si="520"/>
        <v>0</v>
      </c>
    </row>
    <row r="266" spans="1:18" s="16" customFormat="1" ht="24" x14ac:dyDescent="0.15">
      <c r="A266" s="13" t="s">
        <v>36</v>
      </c>
      <c r="B266" s="14">
        <f t="shared" ref="B266:M266" si="521">B263/B203</f>
        <v>8.3803564444941061E-5</v>
      </c>
      <c r="C266" s="14">
        <f t="shared" si="521"/>
        <v>-1.3128379006998355E-3</v>
      </c>
      <c r="D266" s="14">
        <f t="shared" si="521"/>
        <v>-5.2408221699560284E-4</v>
      </c>
      <c r="E266" s="14">
        <f t="shared" si="521"/>
        <v>-1.1760059288449848E-3</v>
      </c>
      <c r="F266" s="14">
        <f t="shared" si="521"/>
        <v>-6.2517693686892507E-4</v>
      </c>
      <c r="G266" s="14">
        <f t="shared" si="521"/>
        <v>-3.924292152535854E-3</v>
      </c>
      <c r="H266" s="14">
        <f t="shared" si="521"/>
        <v>-2.6563283025016833E-3</v>
      </c>
      <c r="I266" s="14">
        <f t="shared" si="521"/>
        <v>0</v>
      </c>
      <c r="J266" s="14">
        <f t="shared" si="521"/>
        <v>0</v>
      </c>
      <c r="K266" s="14">
        <f t="shared" si="521"/>
        <v>0</v>
      </c>
      <c r="L266" s="14">
        <f t="shared" si="521"/>
        <v>0</v>
      </c>
      <c r="M266" s="14">
        <f t="shared" si="521"/>
        <v>0</v>
      </c>
    </row>
    <row r="267" spans="1:18" s="31" customFormat="1" ht="12" x14ac:dyDescent="0.15">
      <c r="A267" s="25" t="s">
        <v>37</v>
      </c>
      <c r="B267" s="17">
        <f t="shared" ref="B267:M267" si="522">B263/B65</f>
        <v>2.3554860250977038E-2</v>
      </c>
      <c r="C267" s="17">
        <f t="shared" si="522"/>
        <v>-0.4300013644925188</v>
      </c>
      <c r="D267" s="17">
        <f t="shared" si="522"/>
        <v>-0.1795379306720849</v>
      </c>
      <c r="E267" s="17">
        <f t="shared" si="522"/>
        <v>-0.44706799313708451</v>
      </c>
      <c r="F267" s="17">
        <f t="shared" si="522"/>
        <v>-0.24087952842151192</v>
      </c>
      <c r="G267" s="17">
        <f t="shared" si="522"/>
        <v>-1.6186762277913307</v>
      </c>
      <c r="H267" s="17">
        <f t="shared" si="522"/>
        <v>-1.2991523932822997</v>
      </c>
      <c r="I267" s="17">
        <f t="shared" si="522"/>
        <v>0</v>
      </c>
      <c r="J267" s="17">
        <f t="shared" si="522"/>
        <v>0</v>
      </c>
      <c r="K267" s="17">
        <f t="shared" si="522"/>
        <v>0</v>
      </c>
      <c r="L267" s="17">
        <f t="shared" si="522"/>
        <v>0</v>
      </c>
      <c r="M267" s="17">
        <f t="shared" si="522"/>
        <v>0</v>
      </c>
    </row>
    <row r="268" spans="1:18" s="31" customFormat="1" x14ac:dyDescent="0.15">
      <c r="A268" s="25"/>
      <c r="B268" s="17"/>
      <c r="C268" s="17"/>
      <c r="D268" s="17"/>
      <c r="E268" s="17"/>
      <c r="F268" s="17"/>
      <c r="G268" s="17"/>
      <c r="H268" s="17"/>
      <c r="I268" s="30"/>
      <c r="J268" s="30"/>
      <c r="K268" s="30"/>
      <c r="L268" s="30"/>
      <c r="M268" s="30"/>
    </row>
    <row r="269" spans="1:18" s="12" customFormat="1" ht="12" x14ac:dyDescent="0.15">
      <c r="A269" s="10" t="s">
        <v>145</v>
      </c>
      <c r="B269" s="6">
        <v>0</v>
      </c>
      <c r="C269" s="6">
        <v>0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11">
        <f>I193*0.351</f>
        <v>602.49149999999997</v>
      </c>
      <c r="J269" s="11">
        <f>J193*0.35</f>
        <v>963.82333249999988</v>
      </c>
      <c r="K269" s="11">
        <f>K193*0.343</f>
        <v>973.2610905718401</v>
      </c>
      <c r="L269" s="11">
        <f>L193*0.337</f>
        <v>989.22626120187624</v>
      </c>
      <c r="M269" s="11">
        <f>M193*0.336</f>
        <v>1025.8411356580416</v>
      </c>
      <c r="O269" s="29"/>
      <c r="P269" s="29"/>
      <c r="Q269" s="29"/>
      <c r="R269" s="29">
        <f>(M269/I269)^(1/4)-1</f>
        <v>0.14230557523422749</v>
      </c>
    </row>
    <row r="270" spans="1:18" s="16" customFormat="1" ht="12" x14ac:dyDescent="0.15">
      <c r="A270" s="13" t="s">
        <v>13</v>
      </c>
      <c r="B270" s="14"/>
      <c r="C270" s="14"/>
      <c r="D270" s="14"/>
      <c r="E270" s="14"/>
      <c r="F270" s="14"/>
      <c r="G270" s="14"/>
      <c r="H270" s="14"/>
      <c r="I270" s="15"/>
      <c r="J270" s="14">
        <f t="shared" ref="J270" si="523">(J269/I269)-1</f>
        <v>0.59972934472934458</v>
      </c>
      <c r="K270" s="14">
        <f t="shared" ref="K270" si="524">(K269/J269)-1</f>
        <v>9.792000000000245E-3</v>
      </c>
      <c r="L270" s="14">
        <f t="shared" ref="L270" si="525">(L269/K269)-1</f>
        <v>1.6403790087463399E-2</v>
      </c>
      <c r="M270" s="14">
        <f t="shared" ref="M270" si="526">(M269/L269)-1</f>
        <v>3.7013649851632024E-2</v>
      </c>
    </row>
    <row r="271" spans="1:18" s="16" customFormat="1" ht="12" x14ac:dyDescent="0.15">
      <c r="A271" s="13" t="s">
        <v>67</v>
      </c>
      <c r="B271" s="14"/>
      <c r="C271" s="14"/>
      <c r="D271" s="14"/>
      <c r="E271" s="14"/>
      <c r="F271" s="14"/>
      <c r="G271" s="14"/>
      <c r="H271" s="14"/>
      <c r="I271" s="15">
        <f>I269/I273</f>
        <v>3.78322705915424E-2</v>
      </c>
      <c r="J271" s="15">
        <f>J269/J273</f>
        <v>5.4466281010565644E-2</v>
      </c>
      <c r="K271" s="15">
        <f t="shared" ref="K271:M271" si="527">K269/K273</f>
        <v>5.060289894535927E-2</v>
      </c>
      <c r="L271" s="15">
        <f t="shared" si="527"/>
        <v>4.7266509417700407E-2</v>
      </c>
      <c r="M271" s="15">
        <f t="shared" si="527"/>
        <v>4.5072139106794133E-2</v>
      </c>
    </row>
    <row r="272" spans="1:18" s="16" customFormat="1" ht="24" x14ac:dyDescent="0.15">
      <c r="A272" s="13" t="s">
        <v>36</v>
      </c>
      <c r="B272" s="14"/>
      <c r="C272" s="14"/>
      <c r="D272" s="14"/>
      <c r="E272" s="14"/>
      <c r="F272" s="14"/>
      <c r="G272" s="14"/>
      <c r="H272" s="14"/>
      <c r="I272" s="15">
        <f>I269/I203</f>
        <v>1.715530817558612E-2</v>
      </c>
      <c r="J272" s="15">
        <f t="shared" ref="J272:M272" si="528">J269/J203</f>
        <v>2.4755891239942228E-2</v>
      </c>
      <c r="K272" s="15">
        <f t="shared" si="528"/>
        <v>2.2765427741042125E-2</v>
      </c>
      <c r="L272" s="15">
        <f t="shared" si="528"/>
        <v>2.1035300443623083E-2</v>
      </c>
      <c r="M272" s="15">
        <f t="shared" si="528"/>
        <v>1.9830844874949235E-2</v>
      </c>
    </row>
    <row r="273" spans="1:18" s="22" customFormat="1" ht="12" x14ac:dyDescent="0.15">
      <c r="A273" s="19" t="s">
        <v>76</v>
      </c>
      <c r="B273" s="20">
        <f t="shared" ref="B273:M273" si="529">SUM(B213+B219+B225+B231+B237+B243+B248+B253+B258+B263+B269)</f>
        <v>6301.8999999999987</v>
      </c>
      <c r="C273" s="20">
        <f t="shared" si="529"/>
        <v>5853.8</v>
      </c>
      <c r="D273" s="20">
        <f t="shared" si="529"/>
        <v>6789.1000000000013</v>
      </c>
      <c r="E273" s="20">
        <f t="shared" si="529"/>
        <v>8719.7999999999993</v>
      </c>
      <c r="F273" s="20">
        <f t="shared" si="529"/>
        <v>10294.200000000003</v>
      </c>
      <c r="G273" s="20">
        <f t="shared" si="529"/>
        <v>11731.199999999999</v>
      </c>
      <c r="H273" s="20">
        <f t="shared" si="529"/>
        <v>14945.800000000001</v>
      </c>
      <c r="I273" s="20">
        <f t="shared" si="529"/>
        <v>15925.332806609023</v>
      </c>
      <c r="J273" s="20">
        <f t="shared" si="529"/>
        <v>17695.780116014026</v>
      </c>
      <c r="K273" s="20">
        <f t="shared" si="529"/>
        <v>19233.307001299709</v>
      </c>
      <c r="L273" s="20">
        <f t="shared" si="529"/>
        <v>20928.692924200361</v>
      </c>
      <c r="M273" s="20">
        <f t="shared" si="529"/>
        <v>22759.983350854702</v>
      </c>
      <c r="O273" s="29">
        <f>(H273/B273)^(1/6)-1</f>
        <v>0.15480310561574262</v>
      </c>
      <c r="P273" s="29">
        <f>(H273/E273)^(1/3)-1</f>
        <v>0.19675214384483941</v>
      </c>
      <c r="Q273" s="29">
        <f>(M273/H273)^(1/5)-1</f>
        <v>8.7753663709977836E-2</v>
      </c>
      <c r="R273" s="29">
        <f>(M273/I273)^(1/4)-1</f>
        <v>9.337932078141975E-2</v>
      </c>
    </row>
    <row r="274" spans="1:18" s="16" customFormat="1" ht="12" x14ac:dyDescent="0.15">
      <c r="A274" s="13" t="s">
        <v>13</v>
      </c>
      <c r="B274" s="14"/>
      <c r="C274" s="14">
        <f t="shared" ref="C274:F274" si="530">(C273/B273)-1</f>
        <v>-7.1105539599168321E-2</v>
      </c>
      <c r="D274" s="14">
        <f t="shared" si="530"/>
        <v>0.15977655539991131</v>
      </c>
      <c r="E274" s="14">
        <f t="shared" si="530"/>
        <v>0.28438231871676622</v>
      </c>
      <c r="F274" s="14">
        <f t="shared" si="530"/>
        <v>0.18055459987614442</v>
      </c>
      <c r="G274" s="14">
        <f>(G273/F273)-1</f>
        <v>0.13959316896893359</v>
      </c>
      <c r="H274" s="14">
        <f>(H273/G273)-1</f>
        <v>0.27402141298417915</v>
      </c>
      <c r="I274" s="14">
        <f t="shared" ref="I274:M274" si="531">(I273/H273)-1</f>
        <v>6.5539001365535698E-2</v>
      </c>
      <c r="J274" s="14">
        <f t="shared" si="531"/>
        <v>0.11117176205386836</v>
      </c>
      <c r="K274" s="14">
        <f t="shared" si="531"/>
        <v>8.688664049878625E-2</v>
      </c>
      <c r="L274" s="14">
        <f t="shared" si="531"/>
        <v>8.8148435564725514E-2</v>
      </c>
      <c r="M274" s="14">
        <f t="shared" si="531"/>
        <v>8.750142368120728E-2</v>
      </c>
    </row>
    <row r="275" spans="1:18" s="16" customFormat="1" ht="24" x14ac:dyDescent="0.15">
      <c r="A275" s="13" t="s">
        <v>36</v>
      </c>
      <c r="B275" s="14">
        <f t="shared" ref="B275:M275" si="532">B273/B203</f>
        <v>0.44010140231297834</v>
      </c>
      <c r="C275" s="14">
        <f t="shared" si="532"/>
        <v>0.60512523646588168</v>
      </c>
      <c r="D275" s="14">
        <f t="shared" si="532"/>
        <v>0.4339081194396156</v>
      </c>
      <c r="E275" s="14">
        <f t="shared" si="532"/>
        <v>0.38696364144688672</v>
      </c>
      <c r="F275" s="14">
        <f t="shared" si="532"/>
        <v>0.40476078135321319</v>
      </c>
      <c r="G275" s="14">
        <f t="shared" si="532"/>
        <v>0.43802717506972988</v>
      </c>
      <c r="H275" s="14">
        <f t="shared" si="532"/>
        <v>0.45950175397603771</v>
      </c>
      <c r="I275" s="14">
        <f t="shared" si="532"/>
        <v>0.45345700660698057</v>
      </c>
      <c r="J275" s="14">
        <f t="shared" si="532"/>
        <v>0.45451774530263878</v>
      </c>
      <c r="K275" s="14">
        <f t="shared" si="532"/>
        <v>0.44988386466996894</v>
      </c>
      <c r="L275" s="14">
        <f t="shared" si="532"/>
        <v>0.44503604566462363</v>
      </c>
      <c r="M275" s="14">
        <f t="shared" si="532"/>
        <v>0.43998011339026843</v>
      </c>
    </row>
    <row r="276" spans="1:18" s="16" customFormat="1" ht="12" x14ac:dyDescent="0.15">
      <c r="A276" s="13" t="s">
        <v>37</v>
      </c>
      <c r="B276" s="17">
        <f>B273/B65</f>
        <v>123.7003115130268</v>
      </c>
      <c r="C276" s="17">
        <f t="shared" ref="C276:M276" si="533">C273/C65</f>
        <v>198.20015649340996</v>
      </c>
      <c r="D276" s="17">
        <f t="shared" si="533"/>
        <v>148.64645916168925</v>
      </c>
      <c r="E276" s="17">
        <f t="shared" si="533"/>
        <v>147.10730137949997</v>
      </c>
      <c r="F276" s="17">
        <f t="shared" si="533"/>
        <v>155.95358751425965</v>
      </c>
      <c r="G276" s="17">
        <f t="shared" si="533"/>
        <v>180.6756856657056</v>
      </c>
      <c r="H276" s="17">
        <f t="shared" si="533"/>
        <v>224.73231295739114</v>
      </c>
      <c r="I276" s="17">
        <f t="shared" si="533"/>
        <v>247.47324915294629</v>
      </c>
      <c r="J276" s="17">
        <f t="shared" si="533"/>
        <v>268.38843100408246</v>
      </c>
      <c r="K276" s="17">
        <f t="shared" si="533"/>
        <v>276.77598697927857</v>
      </c>
      <c r="L276" s="17">
        <f t="shared" si="533"/>
        <v>284.33300910000844</v>
      </c>
      <c r="M276" s="17">
        <f t="shared" si="533"/>
        <v>291.10391443773358</v>
      </c>
      <c r="O276" s="29">
        <f>(H276/B276)^(1/6)-1</f>
        <v>0.10462734013401254</v>
      </c>
      <c r="P276" s="29">
        <f>(H276/E276)^(1/3)-1</f>
        <v>0.15171166171245609</v>
      </c>
      <c r="Q276" s="29">
        <f>(M276/H276)^(1/5)-1</f>
        <v>5.3116712188903126E-2</v>
      </c>
      <c r="R276" s="29">
        <f>(M276/I276)^(1/4)-1</f>
        <v>4.1429669594367224E-2</v>
      </c>
    </row>
    <row r="277" spans="1:18" s="16" customFormat="1" x14ac:dyDescent="0.15">
      <c r="A277" s="13"/>
      <c r="B277" s="14"/>
      <c r="C277" s="14"/>
      <c r="D277" s="14"/>
      <c r="E277" s="14"/>
      <c r="F277" s="14"/>
      <c r="G277" s="14"/>
      <c r="H277" s="14"/>
      <c r="I277" s="15"/>
      <c r="J277" s="15"/>
      <c r="K277" s="15"/>
      <c r="L277" s="15"/>
      <c r="M277" s="15"/>
    </row>
    <row r="278" spans="1:18" s="12" customFormat="1" ht="12" x14ac:dyDescent="0.15">
      <c r="A278" s="10" t="s">
        <v>63</v>
      </c>
      <c r="B278" s="6">
        <f>B206</f>
        <v>1906.8</v>
      </c>
      <c r="C278" s="6">
        <f t="shared" ref="C278:M278" si="534">C206</f>
        <v>2192.6</v>
      </c>
      <c r="D278" s="6">
        <f t="shared" si="534"/>
        <v>3368.5</v>
      </c>
      <c r="E278" s="6">
        <f t="shared" si="534"/>
        <v>4846.3999999999996</v>
      </c>
      <c r="F278" s="6">
        <f t="shared" si="534"/>
        <v>7791.3</v>
      </c>
      <c r="G278" s="6">
        <f t="shared" si="534"/>
        <v>6832.5</v>
      </c>
      <c r="H278" s="6">
        <f t="shared" si="534"/>
        <v>8882.6</v>
      </c>
      <c r="I278" s="6">
        <f t="shared" si="534"/>
        <v>10962.904920000001</v>
      </c>
      <c r="J278" s="6">
        <f t="shared" si="534"/>
        <v>11460.620803368001</v>
      </c>
      <c r="K278" s="6">
        <f t="shared" si="534"/>
        <v>10265.278053576718</v>
      </c>
      <c r="L278" s="6">
        <f t="shared" si="534"/>
        <v>11137.826688130739</v>
      </c>
      <c r="M278" s="6">
        <f t="shared" si="534"/>
        <v>9860.3179670021436</v>
      </c>
    </row>
    <row r="279" spans="1:18" s="16" customFormat="1" ht="12" x14ac:dyDescent="0.15">
      <c r="A279" s="13" t="s">
        <v>13</v>
      </c>
      <c r="B279" s="14"/>
      <c r="C279" s="14">
        <f t="shared" ref="C279:F279" si="535">(C278/B278)-1</f>
        <v>0.14988462345290543</v>
      </c>
      <c r="D279" s="14">
        <f t="shared" si="535"/>
        <v>0.53630393140563726</v>
      </c>
      <c r="E279" s="14">
        <f t="shared" si="535"/>
        <v>0.43874127950126152</v>
      </c>
      <c r="F279" s="14">
        <f t="shared" si="535"/>
        <v>0.6076469131726645</v>
      </c>
      <c r="G279" s="14">
        <f>(G278/F278)-1</f>
        <v>-0.12306033652920567</v>
      </c>
      <c r="H279" s="14">
        <f>(H278/G278)-1</f>
        <v>0.30005122575923893</v>
      </c>
      <c r="I279" s="14">
        <f t="shared" ref="I279:M279" si="536">(I278/H278)-1</f>
        <v>0.23419999999999996</v>
      </c>
      <c r="J279" s="14">
        <f t="shared" si="536"/>
        <v>4.5400000000000107E-2</v>
      </c>
      <c r="K279" s="14">
        <f t="shared" si="536"/>
        <v>-0.10430000000000006</v>
      </c>
      <c r="L279" s="14">
        <f t="shared" si="536"/>
        <v>8.4999999999999964E-2</v>
      </c>
      <c r="M279" s="14">
        <f t="shared" si="536"/>
        <v>-0.11470000000000002</v>
      </c>
    </row>
    <row r="280" spans="1:18" s="31" customFormat="1" ht="12" x14ac:dyDescent="0.15">
      <c r="A280" s="19" t="s">
        <v>77</v>
      </c>
      <c r="B280" s="20">
        <f t="shared" ref="B280:M280" si="537">B273+B278</f>
        <v>8208.6999999999989</v>
      </c>
      <c r="C280" s="20">
        <f t="shared" si="537"/>
        <v>8046.4</v>
      </c>
      <c r="D280" s="20">
        <f t="shared" si="537"/>
        <v>10157.600000000002</v>
      </c>
      <c r="E280" s="20">
        <f t="shared" si="537"/>
        <v>13566.199999999999</v>
      </c>
      <c r="F280" s="20">
        <f t="shared" si="537"/>
        <v>18085.500000000004</v>
      </c>
      <c r="G280" s="20">
        <f t="shared" si="537"/>
        <v>18563.699999999997</v>
      </c>
      <c r="H280" s="20">
        <f t="shared" si="537"/>
        <v>23828.400000000001</v>
      </c>
      <c r="I280" s="20">
        <f t="shared" si="537"/>
        <v>26888.237726609026</v>
      </c>
      <c r="J280" s="20">
        <f t="shared" si="537"/>
        <v>29156.400919382027</v>
      </c>
      <c r="K280" s="20">
        <f t="shared" si="537"/>
        <v>29498.585054876428</v>
      </c>
      <c r="L280" s="20">
        <f t="shared" si="537"/>
        <v>32066.5196123311</v>
      </c>
      <c r="M280" s="20">
        <f t="shared" si="537"/>
        <v>32620.301317856844</v>
      </c>
    </row>
    <row r="281" spans="1:18" s="16" customFormat="1" ht="12" x14ac:dyDescent="0.15">
      <c r="A281" s="13" t="s">
        <v>13</v>
      </c>
      <c r="B281" s="14"/>
      <c r="C281" s="14">
        <f t="shared" ref="C281:F281" si="538">(C280/B280)-1</f>
        <v>-1.9771705629393121E-2</v>
      </c>
      <c r="D281" s="14">
        <f t="shared" si="538"/>
        <v>0.26237820640286369</v>
      </c>
      <c r="E281" s="14">
        <f t="shared" si="538"/>
        <v>0.33557139481767306</v>
      </c>
      <c r="F281" s="14">
        <f t="shared" si="538"/>
        <v>0.3331293951143286</v>
      </c>
      <c r="G281" s="14">
        <f>(G280/F280)-1</f>
        <v>2.6441071576677189E-2</v>
      </c>
      <c r="H281" s="14">
        <f>(H280/G280)-1</f>
        <v>0.28360186816205846</v>
      </c>
      <c r="I281" s="14">
        <f t="shared" ref="I281:M281" si="539">(I280/H280)-1</f>
        <v>0.12841137997553442</v>
      </c>
      <c r="J281" s="14">
        <f t="shared" si="539"/>
        <v>8.4355219402437509E-2</v>
      </c>
      <c r="K281" s="14">
        <f t="shared" si="539"/>
        <v>1.1736158260429619E-2</v>
      </c>
      <c r="L281" s="14">
        <f t="shared" si="539"/>
        <v>8.7052804487995683E-2</v>
      </c>
      <c r="M281" s="14">
        <f t="shared" si="539"/>
        <v>1.7269778953896475E-2</v>
      </c>
    </row>
    <row r="282" spans="1:18" s="12" customFormat="1" ht="12" x14ac:dyDescent="0.15">
      <c r="A282" s="19" t="s">
        <v>151</v>
      </c>
      <c r="B282" s="20">
        <f t="shared" ref="B282:M282" si="540">B284+B258+B253</f>
        <v>9793.4</v>
      </c>
      <c r="C282" s="20">
        <f t="shared" si="540"/>
        <v>5820.300000000002</v>
      </c>
      <c r="D282" s="20">
        <f t="shared" si="540"/>
        <v>10907.8</v>
      </c>
      <c r="E282" s="20">
        <f t="shared" si="540"/>
        <v>16127.499999999996</v>
      </c>
      <c r="F282" s="20">
        <f t="shared" si="540"/>
        <v>17684.3</v>
      </c>
      <c r="G282" s="20">
        <f t="shared" si="540"/>
        <v>18111.700000000004</v>
      </c>
      <c r="H282" s="20">
        <f t="shared" si="540"/>
        <v>21332.2</v>
      </c>
      <c r="I282" s="20">
        <f t="shared" si="540"/>
        <v>23290.581251430973</v>
      </c>
      <c r="J282" s="20">
        <f t="shared" si="540"/>
        <v>25590.60448326687</v>
      </c>
      <c r="K282" s="20">
        <f t="shared" si="540"/>
        <v>28165.534849980962</v>
      </c>
      <c r="L282" s="20">
        <f t="shared" si="540"/>
        <v>31065.703514908233</v>
      </c>
      <c r="M282" s="20">
        <f t="shared" si="540"/>
        <v>34274.97044487956</v>
      </c>
      <c r="O282" s="29">
        <f>(H282/B282)^(1/6)-1</f>
        <v>0.13854541562223988</v>
      </c>
      <c r="P282" s="29">
        <f>(H282/E282)^(1/3)-1</f>
        <v>9.7714831389337897E-2</v>
      </c>
      <c r="Q282" s="29">
        <f>(M282/H282)^(1/5)-1</f>
        <v>9.9482416894906445E-2</v>
      </c>
      <c r="R282" s="29">
        <f>(M282/I282)^(1/4)-1</f>
        <v>0.10141044436684554</v>
      </c>
    </row>
    <row r="283" spans="1:18" s="16" customFormat="1" ht="12" x14ac:dyDescent="0.15">
      <c r="A283" s="13" t="s">
        <v>79</v>
      </c>
      <c r="B283" s="14">
        <f t="shared" ref="B283:M283" si="541">B282/B203</f>
        <v>0.68393485669590481</v>
      </c>
      <c r="C283" s="14">
        <f t="shared" si="541"/>
        <v>0.60166223885379966</v>
      </c>
      <c r="D283" s="14">
        <f t="shared" si="541"/>
        <v>0.69714439104202885</v>
      </c>
      <c r="E283" s="14">
        <f t="shared" si="541"/>
        <v>0.71569945726216933</v>
      </c>
      <c r="F283" s="14">
        <f t="shared" si="541"/>
        <v>0.69533437136296417</v>
      </c>
      <c r="G283" s="14">
        <f t="shared" si="541"/>
        <v>0.6762664336734886</v>
      </c>
      <c r="H283" s="14">
        <f t="shared" si="541"/>
        <v>0.65584868766928706</v>
      </c>
      <c r="I283" s="14">
        <f t="shared" si="541"/>
        <v>0.66317466546304227</v>
      </c>
      <c r="J283" s="14">
        <f t="shared" si="541"/>
        <v>0.65729703773500692</v>
      </c>
      <c r="K283" s="14">
        <f t="shared" si="541"/>
        <v>0.65881648267507298</v>
      </c>
      <c r="L283" s="14">
        <f t="shared" si="541"/>
        <v>0.66059346840899746</v>
      </c>
      <c r="M283" s="14">
        <f t="shared" si="541"/>
        <v>0.66257980730112886</v>
      </c>
    </row>
    <row r="284" spans="1:18" s="12" customFormat="1" ht="12" x14ac:dyDescent="0.15">
      <c r="A284" s="24" t="s">
        <v>78</v>
      </c>
      <c r="B284" s="34">
        <f t="shared" ref="B284:M284" si="542">B209-B280</f>
        <v>8017.2999999999993</v>
      </c>
      <c r="C284" s="34">
        <f t="shared" si="542"/>
        <v>3819.9000000000015</v>
      </c>
      <c r="D284" s="34">
        <f t="shared" si="542"/>
        <v>8857.2999999999993</v>
      </c>
      <c r="E284" s="34">
        <f t="shared" si="542"/>
        <v>13814.099999999997</v>
      </c>
      <c r="F284" s="34">
        <f t="shared" si="542"/>
        <v>15138.600000000002</v>
      </c>
      <c r="G284" s="34">
        <f t="shared" si="542"/>
        <v>15050.700000000004</v>
      </c>
      <c r="H284" s="34">
        <f t="shared" si="542"/>
        <v>17580.300000000003</v>
      </c>
      <c r="I284" s="34">
        <f t="shared" si="542"/>
        <v>19194.496801430971</v>
      </c>
      <c r="J284" s="34">
        <f t="shared" si="542"/>
        <v>21237.309513371871</v>
      </c>
      <c r="K284" s="34">
        <f t="shared" si="542"/>
        <v>23518.408522903635</v>
      </c>
      <c r="L284" s="34">
        <f t="shared" si="542"/>
        <v>26098.26843787343</v>
      </c>
      <c r="M284" s="34">
        <f t="shared" si="542"/>
        <v>28969.589550696604</v>
      </c>
      <c r="O284" s="29">
        <f>(H284/B284)^(1/6)-1</f>
        <v>0.13981147396902238</v>
      </c>
      <c r="P284" s="29">
        <f>(H284/E284)^(1/3)-1</f>
        <v>8.3680425464060626E-2</v>
      </c>
      <c r="Q284" s="29">
        <f>(M284/H284)^(1/5)-1</f>
        <v>0.10505326489011635</v>
      </c>
      <c r="R284" s="29">
        <f>(M284/I284)^(1/4)-1</f>
        <v>0.10838694715659747</v>
      </c>
    </row>
    <row r="285" spans="1:18" s="16" customFormat="1" ht="12" x14ac:dyDescent="0.15">
      <c r="A285" s="13" t="s">
        <v>13</v>
      </c>
      <c r="B285" s="14"/>
      <c r="C285" s="14">
        <f t="shared" ref="C285:M285" si="543">(C284/B284)-1</f>
        <v>-0.52354283861150241</v>
      </c>
      <c r="D285" s="14">
        <f t="shared" si="543"/>
        <v>1.3187256210895564</v>
      </c>
      <c r="E285" s="14">
        <f t="shared" si="543"/>
        <v>0.55962878077969558</v>
      </c>
      <c r="F285" s="14">
        <f t="shared" si="543"/>
        <v>9.5880296219081007E-2</v>
      </c>
      <c r="G285" s="14">
        <f t="shared" si="543"/>
        <v>-5.8063493321706128E-3</v>
      </c>
      <c r="H285" s="14">
        <f t="shared" si="543"/>
        <v>0.16807191692080758</v>
      </c>
      <c r="I285" s="14">
        <f t="shared" si="543"/>
        <v>9.181850147215731E-2</v>
      </c>
      <c r="J285" s="14">
        <f t="shared" si="543"/>
        <v>0.10642700004454442</v>
      </c>
      <c r="K285" s="14">
        <f t="shared" si="543"/>
        <v>0.10740998091568477</v>
      </c>
      <c r="L285" s="14">
        <f t="shared" si="543"/>
        <v>0.10969534407302151</v>
      </c>
      <c r="M285" s="14">
        <f t="shared" si="543"/>
        <v>0.11001960224519558</v>
      </c>
    </row>
    <row r="286" spans="1:18" s="16" customFormat="1" ht="12" x14ac:dyDescent="0.15">
      <c r="A286" s="36" t="s">
        <v>80</v>
      </c>
      <c r="B286" s="37">
        <f t="shared" ref="B286:M286" si="544">(B203-B280+B278)/B203</f>
        <v>0.55989859768702166</v>
      </c>
      <c r="C286" s="37">
        <f t="shared" si="544"/>
        <v>0.39487476353411838</v>
      </c>
      <c r="D286" s="37">
        <f t="shared" si="544"/>
        <v>0.5660918805603844</v>
      </c>
      <c r="E286" s="37">
        <f t="shared" si="544"/>
        <v>0.61303635855311334</v>
      </c>
      <c r="F286" s="37">
        <f t="shared" si="544"/>
        <v>0.59523921864678675</v>
      </c>
      <c r="G286" s="37">
        <f t="shared" si="544"/>
        <v>0.56197282493027023</v>
      </c>
      <c r="H286" s="37">
        <f t="shared" si="544"/>
        <v>0.54049824602396235</v>
      </c>
      <c r="I286" s="37">
        <f t="shared" si="544"/>
        <v>0.54654299339301937</v>
      </c>
      <c r="J286" s="37">
        <f t="shared" si="544"/>
        <v>0.54548225469736122</v>
      </c>
      <c r="K286" s="37">
        <f t="shared" si="544"/>
        <v>0.55011613533003101</v>
      </c>
      <c r="L286" s="37">
        <f t="shared" si="544"/>
        <v>0.55496395433537637</v>
      </c>
      <c r="M286" s="37">
        <f t="shared" si="544"/>
        <v>0.56001988660973157</v>
      </c>
    </row>
    <row r="287" spans="1:18" s="16" customFormat="1" ht="12" x14ac:dyDescent="0.15">
      <c r="A287" s="81" t="s">
        <v>81</v>
      </c>
      <c r="B287" s="82">
        <f t="shared" ref="B287:M287" si="545">B284/B209</f>
        <v>0.49410205842475041</v>
      </c>
      <c r="C287" s="82">
        <f t="shared" si="545"/>
        <v>0.321911632100992</v>
      </c>
      <c r="D287" s="82">
        <f t="shared" si="545"/>
        <v>0.46580839236598659</v>
      </c>
      <c r="E287" s="82">
        <f t="shared" si="545"/>
        <v>0.50452697742537511</v>
      </c>
      <c r="F287" s="82">
        <f t="shared" si="545"/>
        <v>0.45565116888042112</v>
      </c>
      <c r="G287" s="82">
        <f t="shared" si="545"/>
        <v>0.44774560902470378</v>
      </c>
      <c r="H287" s="82">
        <f t="shared" si="545"/>
        <v>0.42455570930746439</v>
      </c>
      <c r="I287" s="82">
        <f t="shared" si="545"/>
        <v>0.41652252189486888</v>
      </c>
      <c r="J287" s="82">
        <f t="shared" si="545"/>
        <v>0.42142777999471276</v>
      </c>
      <c r="K287" s="82">
        <f t="shared" si="545"/>
        <v>0.44360132357185239</v>
      </c>
      <c r="L287" s="82">
        <f t="shared" si="545"/>
        <v>0.44869532431454734</v>
      </c>
      <c r="M287" s="82">
        <f t="shared" si="545"/>
        <v>0.47036273554249614</v>
      </c>
    </row>
    <row r="288" spans="1:18" s="16" customFormat="1" x14ac:dyDescent="0.15">
      <c r="A288" s="13"/>
      <c r="B288" s="14"/>
      <c r="C288" s="14"/>
      <c r="D288" s="14"/>
      <c r="E288" s="14"/>
      <c r="F288" s="14"/>
      <c r="G288" s="14"/>
      <c r="H288" s="14"/>
      <c r="I288" s="15"/>
      <c r="J288" s="15"/>
      <c r="K288" s="15"/>
      <c r="L288" s="15"/>
      <c r="M288" s="15"/>
    </row>
    <row r="289" spans="1:13" s="12" customFormat="1" ht="12" x14ac:dyDescent="0.15">
      <c r="A289" s="10" t="s">
        <v>82</v>
      </c>
      <c r="B289" s="6">
        <v>665.82899999999995</v>
      </c>
      <c r="C289" s="6">
        <v>410.512</v>
      </c>
      <c r="D289" s="6">
        <v>420.27100000000002</v>
      </c>
      <c r="E289" s="6">
        <v>835.98900000000003</v>
      </c>
      <c r="F289" s="6">
        <v>1402.9639999999999</v>
      </c>
      <c r="G289" s="6">
        <v>1289.271</v>
      </c>
      <c r="H289" s="6">
        <v>1025.319</v>
      </c>
      <c r="I289" s="11">
        <f>I292*I290</f>
        <v>923.32300250400021</v>
      </c>
      <c r="J289" s="11">
        <f t="shared" ref="J289:M289" si="546">J292*J290</f>
        <v>881.35613404358423</v>
      </c>
      <c r="K289" s="11">
        <f t="shared" si="546"/>
        <v>926.34936468650915</v>
      </c>
      <c r="L289" s="11">
        <f t="shared" si="546"/>
        <v>989.32967707579121</v>
      </c>
      <c r="M289" s="11">
        <f t="shared" si="546"/>
        <v>1023.8709247792672</v>
      </c>
    </row>
    <row r="290" spans="1:13" s="31" customFormat="1" ht="12" x14ac:dyDescent="0.15">
      <c r="A290" s="25" t="s">
        <v>146</v>
      </c>
      <c r="B290" s="17">
        <v>7500.1930000000002</v>
      </c>
      <c r="C290" s="17">
        <v>14444.549000000001</v>
      </c>
      <c r="D290" s="17">
        <v>13332.877</v>
      </c>
      <c r="E290" s="17">
        <v>12371.464</v>
      </c>
      <c r="F290" s="17">
        <v>10055.200000000001</v>
      </c>
      <c r="G290" s="17">
        <v>13466</v>
      </c>
      <c r="H290" s="17">
        <v>10453.200000000001</v>
      </c>
      <c r="I290" s="30">
        <f>H290*(1+I291)</f>
        <v>10811.744760000001</v>
      </c>
      <c r="J290" s="30">
        <f t="shared" ref="J290" si="547">I290*(1+J291)</f>
        <v>10200.881181060002</v>
      </c>
      <c r="K290" s="30">
        <f t="shared" ref="K290" si="548">J290*(1+K291)</f>
        <v>10796.612642033906</v>
      </c>
      <c r="L290" s="30">
        <f t="shared" ref="L290" si="549">K290*(1+L291)</f>
        <v>11463.843303311602</v>
      </c>
      <c r="M290" s="30">
        <f t="shared" ref="M290" si="550">L290*(1+M291)</f>
        <v>12276.629793516393</v>
      </c>
    </row>
    <row r="291" spans="1:13" s="16" customFormat="1" ht="12" x14ac:dyDescent="0.15">
      <c r="A291" s="13" t="s">
        <v>13</v>
      </c>
      <c r="B291" s="14"/>
      <c r="C291" s="14">
        <f t="shared" ref="C291:H291" si="551">(C290/B290)-1</f>
        <v>0.92589030708943088</v>
      </c>
      <c r="D291" s="14">
        <f t="shared" si="551"/>
        <v>-7.6961350610531332E-2</v>
      </c>
      <c r="E291" s="14">
        <f t="shared" si="551"/>
        <v>-7.2108442911458681E-2</v>
      </c>
      <c r="F291" s="14">
        <f t="shared" si="551"/>
        <v>-0.18722634604926303</v>
      </c>
      <c r="G291" s="14">
        <f t="shared" si="551"/>
        <v>0.33920757419046854</v>
      </c>
      <c r="H291" s="14">
        <f t="shared" si="551"/>
        <v>-0.2237338482103074</v>
      </c>
      <c r="I291" s="14">
        <v>3.4299999999999997E-2</v>
      </c>
      <c r="J291" s="14">
        <v>-5.6500000000000002E-2</v>
      </c>
      <c r="K291" s="14">
        <v>5.8400000000000001E-2</v>
      </c>
      <c r="L291" s="14">
        <v>6.1800000000000001E-2</v>
      </c>
      <c r="M291" s="14">
        <v>7.0900000000000005E-2</v>
      </c>
    </row>
    <row r="292" spans="1:13" s="16" customFormat="1" ht="12" x14ac:dyDescent="0.15">
      <c r="A292" s="13" t="s">
        <v>148</v>
      </c>
      <c r="B292" s="14">
        <f>B289/B290</f>
        <v>8.8774915525507134E-2</v>
      </c>
      <c r="C292" s="14">
        <f t="shared" ref="C292:H292" si="552">C289/C290</f>
        <v>2.8419855822428237E-2</v>
      </c>
      <c r="D292" s="14">
        <f t="shared" si="552"/>
        <v>3.1521403820045743E-2</v>
      </c>
      <c r="E292" s="14">
        <f t="shared" si="552"/>
        <v>6.7573975076838114E-2</v>
      </c>
      <c r="F292" s="14">
        <f t="shared" si="552"/>
        <v>0.1395262152915904</v>
      </c>
      <c r="G292" s="14">
        <f t="shared" si="552"/>
        <v>9.574268528144958E-2</v>
      </c>
      <c r="H292" s="14">
        <f t="shared" si="552"/>
        <v>9.808661462518653E-2</v>
      </c>
      <c r="I292" s="15">
        <v>8.5400000000000004E-2</v>
      </c>
      <c r="J292" s="15">
        <v>8.6400000000000005E-2</v>
      </c>
      <c r="K292" s="15">
        <v>8.5800000000000001E-2</v>
      </c>
      <c r="L292" s="15">
        <v>8.6300000000000002E-2</v>
      </c>
      <c r="M292" s="15">
        <v>8.3400000000000002E-2</v>
      </c>
    </row>
    <row r="293" spans="1:13" s="12" customFormat="1" ht="12" x14ac:dyDescent="0.15">
      <c r="A293" s="10" t="s">
        <v>83</v>
      </c>
      <c r="B293" s="6">
        <v>-1425.7460000000001</v>
      </c>
      <c r="C293" s="6">
        <v>-1514.25</v>
      </c>
      <c r="D293" s="6">
        <v>-1686.54</v>
      </c>
      <c r="E293" s="6">
        <v>-2455.9180000000001</v>
      </c>
      <c r="F293" s="6">
        <v>-3439.2759999999998</v>
      </c>
      <c r="G293" s="6">
        <v>-4104.4229999999998</v>
      </c>
      <c r="H293" s="6">
        <v>-4458.335</v>
      </c>
      <c r="I293" s="11">
        <f>-I296*I294</f>
        <v>-5641.3328012454394</v>
      </c>
      <c r="J293" s="11">
        <f t="shared" ref="J293:M293" si="553">-J296*J294</f>
        <v>-6082.4362070766683</v>
      </c>
      <c r="K293" s="11">
        <f t="shared" si="553"/>
        <v>-6556.7604497293951</v>
      </c>
      <c r="L293" s="11">
        <f t="shared" si="553"/>
        <v>-6865.5444633031775</v>
      </c>
      <c r="M293" s="11">
        <f t="shared" si="553"/>
        <v>-7307.8226713932245</v>
      </c>
    </row>
    <row r="294" spans="1:13" s="31" customFormat="1" ht="12" x14ac:dyDescent="0.15">
      <c r="A294" s="25" t="s">
        <v>149</v>
      </c>
      <c r="B294" s="17">
        <f>2200+9800+16231.795</f>
        <v>28231.794999999998</v>
      </c>
      <c r="C294" s="17">
        <f>6195.576+15500+2659.59</f>
        <v>24355.166000000001</v>
      </c>
      <c r="D294" s="17">
        <f>3964.688+5196.24+18700</f>
        <v>27860.928</v>
      </c>
      <c r="E294" s="17">
        <f>2256+6232.588+25855.588</f>
        <v>34344.175999999999</v>
      </c>
      <c r="F294" s="17">
        <f>7830.316+4481.792+28255.588</f>
        <v>40567.695999999996</v>
      </c>
      <c r="G294" s="17">
        <f>13982.903+29903.722+4103.254</f>
        <v>47989.879000000001</v>
      </c>
      <c r="H294" s="17">
        <f>39026.134+4946.131+9024.828</f>
        <v>52997.093000000001</v>
      </c>
      <c r="I294" s="30">
        <f>H294*(1+I295)</f>
        <v>67804.480784200001</v>
      </c>
      <c r="J294" s="30">
        <f t="shared" ref="J294:M294" si="554">I294*(1+J295)</f>
        <v>73459.374481602281</v>
      </c>
      <c r="K294" s="30">
        <f t="shared" si="554"/>
        <v>78807.216943862921</v>
      </c>
      <c r="L294" s="30">
        <f t="shared" si="554"/>
        <v>83117.971710692218</v>
      </c>
      <c r="M294" s="30">
        <f t="shared" si="554"/>
        <v>88794.929178532504</v>
      </c>
    </row>
    <row r="295" spans="1:13" s="16" customFormat="1" ht="12" x14ac:dyDescent="0.15">
      <c r="A295" s="13" t="s">
        <v>13</v>
      </c>
      <c r="B295" s="14"/>
      <c r="C295" s="14">
        <f t="shared" ref="C295:H295" si="555">(C294/B294)-1</f>
        <v>-0.13731429404329398</v>
      </c>
      <c r="D295" s="14">
        <f t="shared" si="555"/>
        <v>0.14394326033335192</v>
      </c>
      <c r="E295" s="14">
        <f t="shared" si="555"/>
        <v>0.23270036087814439</v>
      </c>
      <c r="F295" s="14">
        <f t="shared" si="555"/>
        <v>0.18121034553282045</v>
      </c>
      <c r="G295" s="14">
        <f t="shared" si="555"/>
        <v>0.18295796241423234</v>
      </c>
      <c r="H295" s="14">
        <f t="shared" si="555"/>
        <v>0.10433895863750764</v>
      </c>
      <c r="I295" s="14">
        <v>0.27939999999999998</v>
      </c>
      <c r="J295" s="14">
        <v>8.3400000000000002E-2</v>
      </c>
      <c r="K295" s="14">
        <v>7.2800000000000004E-2</v>
      </c>
      <c r="L295" s="14">
        <v>5.4699999999999999E-2</v>
      </c>
      <c r="M295" s="14">
        <v>6.83E-2</v>
      </c>
    </row>
    <row r="296" spans="1:13" s="31" customFormat="1" ht="12" x14ac:dyDescent="0.15">
      <c r="A296" s="25" t="s">
        <v>147</v>
      </c>
      <c r="B296" s="14">
        <f>-B293/B294</f>
        <v>5.0501429328174148E-2</v>
      </c>
      <c r="C296" s="14">
        <f t="shared" ref="C296:H296" si="556">-C293/C294</f>
        <v>6.2173667795982171E-2</v>
      </c>
      <c r="D296" s="14">
        <f t="shared" si="556"/>
        <v>6.0534236332687841E-2</v>
      </c>
      <c r="E296" s="14">
        <f t="shared" si="556"/>
        <v>7.1509009271324489E-2</v>
      </c>
      <c r="F296" s="14">
        <f t="shared" si="556"/>
        <v>8.4778686963144279E-2</v>
      </c>
      <c r="G296" s="14">
        <f t="shared" si="556"/>
        <v>8.5526846191881417E-2</v>
      </c>
      <c r="H296" s="14">
        <f t="shared" si="556"/>
        <v>8.412414243173677E-2</v>
      </c>
      <c r="I296" s="15">
        <v>8.3199999999999996E-2</v>
      </c>
      <c r="J296" s="15">
        <v>8.2799999999999999E-2</v>
      </c>
      <c r="K296" s="15">
        <v>8.3199999999999996E-2</v>
      </c>
      <c r="L296" s="15">
        <v>8.2600000000000007E-2</v>
      </c>
      <c r="M296" s="15">
        <v>8.2299999999999998E-2</v>
      </c>
    </row>
    <row r="297" spans="1:13" s="31" customFormat="1" ht="12" x14ac:dyDescent="0.15">
      <c r="A297" s="25" t="s">
        <v>150</v>
      </c>
      <c r="B297" s="83">
        <f>(B294-B290)/B282</f>
        <v>2.1168952559887271</v>
      </c>
      <c r="C297" s="83">
        <f t="shared" ref="C297:M297" si="557">(C294-C290)/C282</f>
        <v>1.7027673831245806</v>
      </c>
      <c r="D297" s="83">
        <f t="shared" si="557"/>
        <v>1.3318956159812245</v>
      </c>
      <c r="E297" s="83">
        <f t="shared" si="557"/>
        <v>1.3624375755696794</v>
      </c>
      <c r="F297" s="83">
        <f t="shared" si="557"/>
        <v>1.7254002702962512</v>
      </c>
      <c r="G297" s="83">
        <f t="shared" si="557"/>
        <v>1.9061644682718901</v>
      </c>
      <c r="H297" s="83">
        <f t="shared" si="557"/>
        <v>1.9943509342683827</v>
      </c>
      <c r="I297" s="83">
        <f t="shared" si="557"/>
        <v>2.4470293552977931</v>
      </c>
      <c r="J297" s="83">
        <f>(J294-J290)/J282</f>
        <v>2.471942127897198</v>
      </c>
      <c r="K297" s="83">
        <f t="shared" si="557"/>
        <v>2.4146746960097221</v>
      </c>
      <c r="L297" s="83">
        <f t="shared" si="557"/>
        <v>2.3065348696511654</v>
      </c>
      <c r="M297" s="83">
        <f t="shared" si="557"/>
        <v>2.2324833075515436</v>
      </c>
    </row>
    <row r="298" spans="1:13" s="12" customFormat="1" ht="12" x14ac:dyDescent="0.15">
      <c r="A298" s="10" t="s">
        <v>84</v>
      </c>
      <c r="B298" s="6">
        <v>88.784999999999997</v>
      </c>
      <c r="C298" s="6">
        <v>-330.48399999999998</v>
      </c>
      <c r="D298" s="6">
        <v>238.339</v>
      </c>
      <c r="E298" s="6">
        <v>81.42</v>
      </c>
      <c r="F298" s="6">
        <v>-340.71100000000001</v>
      </c>
      <c r="G298" s="6">
        <v>-119.751</v>
      </c>
      <c r="H298" s="6">
        <v>-33.26</v>
      </c>
      <c r="I298" s="11">
        <f>H298*1.24</f>
        <v>-41.242399999999996</v>
      </c>
      <c r="J298" s="11">
        <f>I298*1.76</f>
        <v>-72.586624</v>
      </c>
      <c r="K298" s="11">
        <f>J298*1.46</f>
        <v>-105.97647103999999</v>
      </c>
      <c r="L298" s="11">
        <f>K298*1.21</f>
        <v>-128.23152995839999</v>
      </c>
      <c r="M298" s="11">
        <f>L298*1.14</f>
        <v>-146.18394415257598</v>
      </c>
    </row>
    <row r="299" spans="1:13" s="12" customFormat="1" ht="12" x14ac:dyDescent="0.15">
      <c r="A299" s="19" t="s">
        <v>85</v>
      </c>
      <c r="B299" s="20">
        <f t="shared" ref="B299:M299" si="558">SUM(B289+B293+B298)</f>
        <v>-671.13200000000018</v>
      </c>
      <c r="C299" s="20">
        <f t="shared" si="558"/>
        <v>-1434.222</v>
      </c>
      <c r="D299" s="20">
        <f t="shared" si="558"/>
        <v>-1027.93</v>
      </c>
      <c r="E299" s="20">
        <f t="shared" si="558"/>
        <v>-1538.509</v>
      </c>
      <c r="F299" s="20">
        <f t="shared" si="558"/>
        <v>-2377.0230000000001</v>
      </c>
      <c r="G299" s="20">
        <f t="shared" si="558"/>
        <v>-2934.9030000000002</v>
      </c>
      <c r="H299" s="20">
        <f t="shared" si="558"/>
        <v>-3466.2760000000003</v>
      </c>
      <c r="I299" s="20">
        <f t="shared" si="558"/>
        <v>-4759.2521987414393</v>
      </c>
      <c r="J299" s="20">
        <f t="shared" si="558"/>
        <v>-5273.6666970330834</v>
      </c>
      <c r="K299" s="20">
        <f t="shared" si="558"/>
        <v>-5736.3875560828865</v>
      </c>
      <c r="L299" s="20">
        <f t="shared" si="558"/>
        <v>-6004.4463161857857</v>
      </c>
      <c r="M299" s="20">
        <f t="shared" si="558"/>
        <v>-6430.1356907665331</v>
      </c>
    </row>
    <row r="300" spans="1:13" s="12" customFormat="1" x14ac:dyDescent="0.15">
      <c r="A300" s="10"/>
      <c r="B300" s="6"/>
      <c r="C300" s="6"/>
      <c r="D300" s="6"/>
      <c r="E300" s="6"/>
      <c r="F300" s="6"/>
      <c r="G300" s="6"/>
      <c r="H300" s="6"/>
      <c r="I300" s="11"/>
      <c r="J300" s="11"/>
      <c r="K300" s="11"/>
      <c r="L300" s="11"/>
      <c r="M300" s="11"/>
    </row>
    <row r="301" spans="1:13" s="12" customFormat="1" ht="12" x14ac:dyDescent="0.15">
      <c r="A301" s="10" t="s">
        <v>86</v>
      </c>
      <c r="B301" s="6">
        <v>7.9000000000000001E-2</v>
      </c>
      <c r="C301" s="6">
        <f>0.003</f>
        <v>3.0000000000000001E-3</v>
      </c>
      <c r="D301" s="6">
        <f>0.001</f>
        <v>1E-3</v>
      </c>
      <c r="E301" s="6">
        <v>0</v>
      </c>
      <c r="F301" s="6">
        <v>0</v>
      </c>
      <c r="G301" s="6">
        <v>0</v>
      </c>
      <c r="H301" s="6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</row>
    <row r="302" spans="1:13" s="12" customFormat="1" x14ac:dyDescent="0.15">
      <c r="A302" s="10"/>
      <c r="B302" s="6"/>
      <c r="C302" s="6"/>
      <c r="D302" s="6"/>
      <c r="E302" s="6"/>
      <c r="F302" s="6"/>
      <c r="G302" s="6"/>
      <c r="H302" s="6"/>
      <c r="I302" s="11"/>
      <c r="J302" s="11"/>
      <c r="K302" s="11"/>
      <c r="L302" s="11"/>
      <c r="M302" s="11"/>
    </row>
    <row r="303" spans="1:13" s="22" customFormat="1" ht="12" x14ac:dyDescent="0.15">
      <c r="A303" s="19" t="s">
        <v>87</v>
      </c>
      <c r="B303" s="20">
        <f t="shared" ref="B303:M303" si="559">B284+B299+B301</f>
        <v>7346.2469999999985</v>
      </c>
      <c r="C303" s="20">
        <f t="shared" si="559"/>
        <v>2385.6810000000019</v>
      </c>
      <c r="D303" s="20">
        <f t="shared" si="559"/>
        <v>7829.3709999999992</v>
      </c>
      <c r="E303" s="20">
        <f t="shared" si="559"/>
        <v>12275.590999999997</v>
      </c>
      <c r="F303" s="20">
        <f t="shared" si="559"/>
        <v>12761.577000000001</v>
      </c>
      <c r="G303" s="20">
        <f t="shared" si="559"/>
        <v>12115.797000000004</v>
      </c>
      <c r="H303" s="20">
        <f t="shared" si="559"/>
        <v>14114.024000000003</v>
      </c>
      <c r="I303" s="20">
        <f t="shared" si="559"/>
        <v>14435.24460268953</v>
      </c>
      <c r="J303" s="20">
        <f t="shared" si="559"/>
        <v>15963.642816338786</v>
      </c>
      <c r="K303" s="20">
        <f t="shared" si="559"/>
        <v>17782.02096682075</v>
      </c>
      <c r="L303" s="20">
        <f t="shared" si="559"/>
        <v>20093.822121687645</v>
      </c>
      <c r="M303" s="20">
        <f t="shared" si="559"/>
        <v>22539.453859930072</v>
      </c>
    </row>
    <row r="304" spans="1:13" s="16" customFormat="1" ht="12" x14ac:dyDescent="0.15">
      <c r="A304" s="13" t="s">
        <v>13</v>
      </c>
      <c r="B304" s="14"/>
      <c r="C304" s="14">
        <f t="shared" ref="C304:F304" si="560">(C303/B303)-1</f>
        <v>-0.6752517305775313</v>
      </c>
      <c r="D304" s="14">
        <f t="shared" si="560"/>
        <v>2.281818063689149</v>
      </c>
      <c r="E304" s="14">
        <f t="shared" si="560"/>
        <v>0.56788980877263295</v>
      </c>
      <c r="F304" s="14">
        <f t="shared" si="560"/>
        <v>3.9589621387679408E-2</v>
      </c>
      <c r="G304" s="14">
        <f>(G303/F303)-1</f>
        <v>-5.0603463819557493E-2</v>
      </c>
      <c r="H304" s="14">
        <f>(H303/G303)-1</f>
        <v>0.16492740840738729</v>
      </c>
      <c r="I304" s="14">
        <f t="shared" ref="I304:M304" si="561">(I303/H303)-1</f>
        <v>2.2758966733337438E-2</v>
      </c>
      <c r="J304" s="14">
        <f t="shared" si="561"/>
        <v>0.10587962003529117</v>
      </c>
      <c r="K304" s="14">
        <f t="shared" si="561"/>
        <v>0.11390746907847715</v>
      </c>
      <c r="L304" s="14">
        <f t="shared" si="561"/>
        <v>0.13000778478331876</v>
      </c>
      <c r="M304" s="14">
        <f t="shared" si="561"/>
        <v>0.12171062943783162</v>
      </c>
    </row>
    <row r="305" spans="1:18" s="12" customFormat="1" ht="12" x14ac:dyDescent="0.15">
      <c r="A305" s="10" t="s">
        <v>88</v>
      </c>
      <c r="B305" s="6">
        <v>1891.443</v>
      </c>
      <c r="C305" s="6">
        <v>467.06700000000001</v>
      </c>
      <c r="D305" s="6">
        <v>1785.546</v>
      </c>
      <c r="E305" s="6">
        <v>3090.212</v>
      </c>
      <c r="F305" s="6">
        <v>3072.09</v>
      </c>
      <c r="G305" s="6">
        <v>3240.3020000000001</v>
      </c>
      <c r="H305" s="6">
        <v>4113.2280000000001</v>
      </c>
      <c r="I305" s="11">
        <f>I306*I303</f>
        <v>4251.1795354920669</v>
      </c>
      <c r="J305" s="11">
        <f t="shared" ref="J305:M305" si="562">J306*J303</f>
        <v>4718.852816509745</v>
      </c>
      <c r="K305" s="11">
        <f t="shared" si="562"/>
        <v>5297.2640460159009</v>
      </c>
      <c r="L305" s="11">
        <f t="shared" si="562"/>
        <v>5895.5274105031549</v>
      </c>
      <c r="M305" s="11">
        <f t="shared" si="562"/>
        <v>6624.3454894334482</v>
      </c>
    </row>
    <row r="306" spans="1:18" s="16" customFormat="1" ht="12" x14ac:dyDescent="0.15">
      <c r="A306" s="13" t="s">
        <v>89</v>
      </c>
      <c r="B306" s="14">
        <f>B305/B303</f>
        <v>0.25747065134074587</v>
      </c>
      <c r="C306" s="14">
        <f t="shared" ref="C306:H306" si="563">C305/C303</f>
        <v>0.19577931835815418</v>
      </c>
      <c r="D306" s="14">
        <f t="shared" si="563"/>
        <v>0.22805740077970507</v>
      </c>
      <c r="E306" s="14">
        <f t="shared" si="563"/>
        <v>0.2517363115144518</v>
      </c>
      <c r="F306" s="14">
        <f t="shared" si="563"/>
        <v>0.24072965276940303</v>
      </c>
      <c r="G306" s="14">
        <f t="shared" si="563"/>
        <v>0.26744439511490653</v>
      </c>
      <c r="H306" s="14">
        <f t="shared" si="563"/>
        <v>0.29142844025204995</v>
      </c>
      <c r="I306" s="15">
        <v>0.29449999999999998</v>
      </c>
      <c r="J306" s="15">
        <v>0.29559999999999997</v>
      </c>
      <c r="K306" s="15">
        <v>0.2979</v>
      </c>
      <c r="L306" s="15">
        <v>0.29339999999999999</v>
      </c>
      <c r="M306" s="15">
        <v>0.29389999999999999</v>
      </c>
    </row>
    <row r="307" spans="1:18" s="22" customFormat="1" ht="12" x14ac:dyDescent="0.15">
      <c r="A307" s="19" t="s">
        <v>90</v>
      </c>
      <c r="B307" s="20">
        <f t="shared" ref="B307:E307" si="564">B303-B305</f>
        <v>5454.8039999999983</v>
      </c>
      <c r="C307" s="20">
        <f t="shared" si="564"/>
        <v>1918.6140000000019</v>
      </c>
      <c r="D307" s="20">
        <f t="shared" si="564"/>
        <v>6043.8249999999989</v>
      </c>
      <c r="E307" s="20">
        <f t="shared" si="564"/>
        <v>9185.3789999999972</v>
      </c>
      <c r="F307" s="20">
        <f>F303-F305</f>
        <v>9689.487000000001</v>
      </c>
      <c r="G307" s="20">
        <f t="shared" ref="G307:M307" si="565">G303-G305</f>
        <v>8875.4950000000044</v>
      </c>
      <c r="H307" s="20">
        <f t="shared" si="565"/>
        <v>10000.796000000002</v>
      </c>
      <c r="I307" s="20">
        <f t="shared" si="565"/>
        <v>10184.065067197464</v>
      </c>
      <c r="J307" s="20">
        <f t="shared" si="565"/>
        <v>11244.789999829041</v>
      </c>
      <c r="K307" s="20">
        <f t="shared" si="565"/>
        <v>12484.756920804848</v>
      </c>
      <c r="L307" s="20">
        <f t="shared" si="565"/>
        <v>14198.29471118449</v>
      </c>
      <c r="M307" s="20">
        <f t="shared" si="565"/>
        <v>15915.108370496624</v>
      </c>
    </row>
    <row r="308" spans="1:18" s="16" customFormat="1" ht="12" x14ac:dyDescent="0.15">
      <c r="A308" s="13" t="s">
        <v>13</v>
      </c>
      <c r="B308" s="14"/>
      <c r="C308" s="14">
        <f t="shared" ref="C308:F308" si="566">(C307/B307)-1</f>
        <v>-0.64827077196540839</v>
      </c>
      <c r="D308" s="14">
        <f t="shared" si="566"/>
        <v>2.1500994989091047</v>
      </c>
      <c r="E308" s="14">
        <f t="shared" si="566"/>
        <v>0.51979565920588344</v>
      </c>
      <c r="F308" s="14">
        <f t="shared" si="566"/>
        <v>5.488156776111297E-2</v>
      </c>
      <c r="G308" s="14">
        <f>(G307/F307)-1</f>
        <v>-8.4007749842689994E-2</v>
      </c>
      <c r="H308" s="14">
        <f>(H307/G307)-1</f>
        <v>0.12678740735023752</v>
      </c>
      <c r="I308" s="14">
        <f t="shared" ref="I308:M308" si="567">(I307/H307)-1</f>
        <v>1.83254480140842E-2</v>
      </c>
      <c r="J308" s="14">
        <f t="shared" si="567"/>
        <v>0.1041553569849174</v>
      </c>
      <c r="K308" s="14">
        <f t="shared" si="567"/>
        <v>0.11027034929017421</v>
      </c>
      <c r="L308" s="14">
        <f t="shared" si="567"/>
        <v>0.13725039271883355</v>
      </c>
      <c r="M308" s="14">
        <f t="shared" si="567"/>
        <v>0.12091689137567641</v>
      </c>
    </row>
    <row r="309" spans="1:18" s="12" customFormat="1" ht="12" x14ac:dyDescent="0.15">
      <c r="A309" s="10" t="s">
        <v>91</v>
      </c>
      <c r="B309" s="6">
        <v>94.59</v>
      </c>
      <c r="C309" s="6">
        <v>-50.152999999999999</v>
      </c>
      <c r="D309" s="6">
        <v>46.225000000000001</v>
      </c>
      <c r="E309" s="6">
        <v>172.327</v>
      </c>
      <c r="F309" s="6">
        <v>146.68799999999999</v>
      </c>
      <c r="G309" s="6">
        <v>263.28199999999998</v>
      </c>
      <c r="H309" s="6">
        <v>435.43799999999999</v>
      </c>
      <c r="I309" s="11">
        <f>H309*(1+I310)</f>
        <v>515.68922339999995</v>
      </c>
      <c r="J309" s="11">
        <f>I309*(1+J310)</f>
        <v>569.99129862401992</v>
      </c>
      <c r="K309" s="11">
        <f t="shared" ref="K309:M309" si="568">J309*(1+K310)</f>
        <v>618.04156509802488</v>
      </c>
      <c r="L309" s="11">
        <f t="shared" si="568"/>
        <v>678.91865926018033</v>
      </c>
      <c r="M309" s="11">
        <f t="shared" si="568"/>
        <v>736.55885343136958</v>
      </c>
    </row>
    <row r="310" spans="1:18" s="16" customFormat="1" ht="12" x14ac:dyDescent="0.15">
      <c r="A310" s="13" t="s">
        <v>13</v>
      </c>
      <c r="B310" s="14"/>
      <c r="C310" s="14">
        <f t="shared" ref="C310:F310" si="569">(C309/B309)-1</f>
        <v>-1.5302146104239349</v>
      </c>
      <c r="D310" s="14">
        <f t="shared" si="569"/>
        <v>-1.9216796602396666</v>
      </c>
      <c r="E310" s="14">
        <f t="shared" si="569"/>
        <v>2.7280043266630609</v>
      </c>
      <c r="F310" s="14">
        <f t="shared" si="569"/>
        <v>-0.14878109640392978</v>
      </c>
      <c r="G310" s="14">
        <f>(G309/F309)-1</f>
        <v>0.79484347731239091</v>
      </c>
      <c r="H310" s="14">
        <f>(H309/G309)-1</f>
        <v>0.65388442810370639</v>
      </c>
      <c r="I310" s="15">
        <v>0.18429999999999999</v>
      </c>
      <c r="J310" s="15">
        <v>0.1053</v>
      </c>
      <c r="K310" s="15">
        <v>8.43E-2</v>
      </c>
      <c r="L310" s="15">
        <v>9.8500000000000004E-2</v>
      </c>
      <c r="M310" s="15">
        <v>8.4900000000000003E-2</v>
      </c>
    </row>
    <row r="311" spans="1:18" s="22" customFormat="1" ht="12" x14ac:dyDescent="0.15">
      <c r="A311" s="24" t="s">
        <v>92</v>
      </c>
      <c r="B311" s="34">
        <f>B307-B309</f>
        <v>5360.2139999999981</v>
      </c>
      <c r="C311" s="34">
        <f t="shared" ref="C311:M311" si="570">C307-C309</f>
        <v>1968.7670000000019</v>
      </c>
      <c r="D311" s="34">
        <f t="shared" si="570"/>
        <v>5997.5999999999985</v>
      </c>
      <c r="E311" s="34">
        <f t="shared" si="570"/>
        <v>9013.0519999999979</v>
      </c>
      <c r="F311" s="34">
        <f t="shared" si="570"/>
        <v>9542.7990000000009</v>
      </c>
      <c r="G311" s="34">
        <f t="shared" si="570"/>
        <v>8612.2130000000052</v>
      </c>
      <c r="H311" s="34">
        <f t="shared" si="570"/>
        <v>9565.358000000002</v>
      </c>
      <c r="I311" s="34">
        <f t="shared" si="570"/>
        <v>9668.3758437974629</v>
      </c>
      <c r="J311" s="34">
        <f t="shared" si="570"/>
        <v>10674.798701205022</v>
      </c>
      <c r="K311" s="34">
        <f t="shared" si="570"/>
        <v>11866.715355706823</v>
      </c>
      <c r="L311" s="34">
        <f t="shared" si="570"/>
        <v>13519.37605192431</v>
      </c>
      <c r="M311" s="34">
        <f t="shared" si="570"/>
        <v>15178.549517065254</v>
      </c>
      <c r="O311" s="29">
        <f>(H311/B311)^(1/6)-1</f>
        <v>0.10133603687367332</v>
      </c>
      <c r="P311" s="29">
        <f>(H311/E311)^(1/3)-1</f>
        <v>2.0022576054292029E-2</v>
      </c>
      <c r="Q311" s="29">
        <f>(M311/H311)^(1/5)-1</f>
        <v>9.6745367234797097E-2</v>
      </c>
      <c r="R311" s="29">
        <f>(M311/I311)^(1/4)-1</f>
        <v>0.11935846211739398</v>
      </c>
    </row>
    <row r="312" spans="1:18" s="16" customFormat="1" ht="12" x14ac:dyDescent="0.15">
      <c r="A312" s="13" t="s">
        <v>13</v>
      </c>
      <c r="B312" s="14"/>
      <c r="C312" s="14">
        <f t="shared" ref="C312:F312" si="571">(C311/B311)-1</f>
        <v>-0.63270738817517314</v>
      </c>
      <c r="D312" s="14">
        <f t="shared" si="571"/>
        <v>2.0463736948049176</v>
      </c>
      <c r="E312" s="14">
        <f t="shared" si="571"/>
        <v>0.50277644391089771</v>
      </c>
      <c r="F312" s="14">
        <f t="shared" si="571"/>
        <v>5.8775540183281239E-2</v>
      </c>
      <c r="G312" s="14">
        <f t="shared" ref="G312" si="572">(G311/F311)-1</f>
        <v>-9.7517091159522007E-2</v>
      </c>
      <c r="H312" s="14">
        <f t="shared" ref="H312" si="573">(H311/G311)-1</f>
        <v>0.11067364450925643</v>
      </c>
      <c r="I312" s="14">
        <f t="shared" ref="I312" si="574">(I311/H311)-1</f>
        <v>1.0769888988729992E-2</v>
      </c>
      <c r="J312" s="14">
        <f t="shared" ref="J312" si="575">(J311/I311)-1</f>
        <v>0.10409430432446487</v>
      </c>
      <c r="K312" s="14">
        <f t="shared" ref="K312" si="576">(K311/J311)-1</f>
        <v>0.11165706144578191</v>
      </c>
      <c r="L312" s="14">
        <f t="shared" ref="L312" si="577">(L311/K311)-1</f>
        <v>0.13926858837333667</v>
      </c>
      <c r="M312" s="14">
        <f t="shared" ref="M312" si="578">(M311/L311)-1</f>
        <v>0.12272559464049992</v>
      </c>
    </row>
    <row r="313" spans="1:18" s="16" customFormat="1" ht="12" x14ac:dyDescent="0.15">
      <c r="A313" s="13" t="s">
        <v>152</v>
      </c>
      <c r="B313" s="14">
        <f t="shared" ref="B313:M313" si="579">B311/B209</f>
        <v>0.33034722051029203</v>
      </c>
      <c r="C313" s="14">
        <f t="shared" si="579"/>
        <v>0.16591245796920706</v>
      </c>
      <c r="D313" s="14">
        <f t="shared" si="579"/>
        <v>0.31541580549989734</v>
      </c>
      <c r="E313" s="14">
        <f t="shared" si="579"/>
        <v>0.32918017698856472</v>
      </c>
      <c r="F313" s="14">
        <f t="shared" si="579"/>
        <v>0.28722520700334997</v>
      </c>
      <c r="G313" s="14">
        <f t="shared" si="579"/>
        <v>0.25620606049788203</v>
      </c>
      <c r="H313" s="14">
        <f t="shared" si="579"/>
        <v>0.23099875147010171</v>
      </c>
      <c r="I313" s="14">
        <f t="shared" si="579"/>
        <v>0.20980473365604072</v>
      </c>
      <c r="J313" s="14">
        <f t="shared" si="579"/>
        <v>0.21182799618316711</v>
      </c>
      <c r="K313" s="14">
        <f t="shared" si="579"/>
        <v>0.22382852279802373</v>
      </c>
      <c r="L313" s="14">
        <f t="shared" si="579"/>
        <v>0.23243231008174833</v>
      </c>
      <c r="M313" s="14">
        <f t="shared" si="579"/>
        <v>0.24644546861529046</v>
      </c>
    </row>
    <row r="314" spans="1:18" s="16" customFormat="1" ht="12" x14ac:dyDescent="0.15">
      <c r="A314" s="73" t="s">
        <v>93</v>
      </c>
      <c r="B314" s="79">
        <f t="shared" ref="B314:M314" si="580">B311/B203</f>
        <v>0.37433753282306265</v>
      </c>
      <c r="C314" s="79">
        <f t="shared" si="580"/>
        <v>0.20351747521630831</v>
      </c>
      <c r="D314" s="79">
        <f t="shared" si="580"/>
        <v>0.3833214030064423</v>
      </c>
      <c r="E314" s="79">
        <f t="shared" si="580"/>
        <v>0.39997745618823188</v>
      </c>
      <c r="F314" s="79">
        <f t="shared" si="580"/>
        <v>0.3752162168538265</v>
      </c>
      <c r="G314" s="79">
        <f t="shared" si="580"/>
        <v>0.32156841000825204</v>
      </c>
      <c r="H314" s="79">
        <f t="shared" si="580"/>
        <v>0.29408253679352891</v>
      </c>
      <c r="I314" s="79">
        <f t="shared" si="580"/>
        <v>0.27529677540303549</v>
      </c>
      <c r="J314" s="79">
        <f t="shared" si="580"/>
        <v>0.27418318974479494</v>
      </c>
      <c r="K314" s="79">
        <f t="shared" si="580"/>
        <v>0.27757284614669159</v>
      </c>
      <c r="L314" s="79">
        <f t="shared" si="580"/>
        <v>0.28748138642926202</v>
      </c>
      <c r="M314" s="79">
        <f t="shared" si="580"/>
        <v>0.29342112578335378</v>
      </c>
    </row>
    <row r="315" spans="1:18" s="16" customFormat="1" x14ac:dyDescent="0.15">
      <c r="A315" s="13"/>
      <c r="B315" s="14"/>
      <c r="C315" s="14"/>
      <c r="D315" s="14"/>
      <c r="E315" s="14"/>
      <c r="F315" s="14"/>
      <c r="G315" s="14"/>
      <c r="H315" s="14"/>
      <c r="I315" s="15"/>
      <c r="J315" s="15"/>
      <c r="K315" s="15"/>
      <c r="L315" s="15"/>
      <c r="M315" s="15"/>
    </row>
    <row r="316" spans="1:18" s="12" customFormat="1" x14ac:dyDescent="0.15">
      <c r="A316" s="38" t="s">
        <v>94</v>
      </c>
      <c r="B316" s="39">
        <v>23.08</v>
      </c>
      <c r="C316" s="39">
        <v>38.590000000000003</v>
      </c>
      <c r="D316" s="39">
        <v>31.9</v>
      </c>
      <c r="E316" s="39">
        <v>15.88</v>
      </c>
      <c r="F316" s="39">
        <v>16.55</v>
      </c>
      <c r="G316" s="39">
        <v>21.14</v>
      </c>
      <c r="H316" s="39">
        <v>24.08</v>
      </c>
      <c r="I316" s="40">
        <v>19</v>
      </c>
      <c r="J316" s="40">
        <v>19</v>
      </c>
      <c r="K316" s="40">
        <v>19</v>
      </c>
      <c r="L316" s="40">
        <v>19</v>
      </c>
      <c r="M316" s="40">
        <v>19</v>
      </c>
    </row>
    <row r="317" spans="1:18" s="12" customFormat="1" x14ac:dyDescent="0.15">
      <c r="A317" s="38"/>
      <c r="B317" s="6"/>
      <c r="C317" s="6"/>
      <c r="D317" s="6"/>
      <c r="E317" s="6"/>
      <c r="F317" s="6"/>
      <c r="G317" s="6"/>
      <c r="H317" s="74"/>
      <c r="I317" s="11"/>
      <c r="J317" s="11"/>
      <c r="K317" s="11"/>
      <c r="L317" s="11"/>
      <c r="M317" s="11"/>
    </row>
    <row r="318" spans="1:18" s="78" customFormat="1" x14ac:dyDescent="0.15">
      <c r="A318" s="75" t="s">
        <v>95</v>
      </c>
      <c r="B318" s="76">
        <v>10.198632</v>
      </c>
      <c r="C318" s="76">
        <v>3.746095</v>
      </c>
      <c r="D318" s="76">
        <v>11.547568999999999</v>
      </c>
      <c r="E318" s="76">
        <v>17.729455999999999</v>
      </c>
      <c r="F318" s="76">
        <v>18.886478</v>
      </c>
      <c r="G318" s="76">
        <v>17.044411</v>
      </c>
      <c r="H318" s="76">
        <v>18.930530999999998</v>
      </c>
      <c r="I318" s="77">
        <f>I311/I320</f>
        <v>16.249371166046156</v>
      </c>
      <c r="J318" s="77">
        <f t="shared" ref="J318:M318" si="581">J311/J320</f>
        <v>17.94083815328575</v>
      </c>
      <c r="K318" s="77">
        <f t="shared" si="581"/>
        <v>19.944059421356005</v>
      </c>
      <c r="L318" s="77">
        <f t="shared" si="581"/>
        <v>22.721640423402199</v>
      </c>
      <c r="M318" s="77">
        <f t="shared" si="581"/>
        <v>25.510167255571854</v>
      </c>
    </row>
    <row r="319" spans="1:18" s="16" customFormat="1" ht="12" x14ac:dyDescent="0.15">
      <c r="A319" s="13" t="s">
        <v>13</v>
      </c>
      <c r="B319" s="14"/>
      <c r="C319" s="14">
        <f t="shared" ref="C319:F319" si="582">(C318/B318)-1</f>
        <v>-0.63268652109420165</v>
      </c>
      <c r="D319" s="14">
        <f t="shared" si="582"/>
        <v>2.0825617075915051</v>
      </c>
      <c r="E319" s="14">
        <f t="shared" si="582"/>
        <v>0.53534098822011811</v>
      </c>
      <c r="F319" s="14">
        <f t="shared" si="582"/>
        <v>6.5259870353608251E-2</v>
      </c>
      <c r="G319" s="14">
        <f>(G318/F318)-1</f>
        <v>-9.7533642852838942E-2</v>
      </c>
      <c r="H319" s="14">
        <f>(H318/G318)-1</f>
        <v>0.11065914803392141</v>
      </c>
      <c r="I319" s="14">
        <f t="shared" ref="I319:M319" si="583">(I318/H318)-1</f>
        <v>-0.14163151757094627</v>
      </c>
      <c r="J319" s="14">
        <f t="shared" si="583"/>
        <v>0.10409430432446487</v>
      </c>
      <c r="K319" s="14">
        <f t="shared" si="583"/>
        <v>0.11165706144578191</v>
      </c>
      <c r="L319" s="14">
        <f t="shared" si="583"/>
        <v>0.13926858837333644</v>
      </c>
      <c r="M319" s="14">
        <f t="shared" si="583"/>
        <v>0.12272559464049992</v>
      </c>
    </row>
    <row r="320" spans="1:18" s="12" customFormat="1" x14ac:dyDescent="0.15">
      <c r="A320" s="38" t="s">
        <v>96</v>
      </c>
      <c r="B320" s="6">
        <f>B311/B318</f>
        <v>525.58166624700232</v>
      </c>
      <c r="C320" s="6">
        <f t="shared" ref="C320:H320" si="584">C311/C318</f>
        <v>525.55180794934506</v>
      </c>
      <c r="D320" s="6">
        <f t="shared" si="584"/>
        <v>519.38204482692413</v>
      </c>
      <c r="E320" s="6">
        <f t="shared" si="584"/>
        <v>508.36596452818395</v>
      </c>
      <c r="F320" s="6">
        <f t="shared" si="584"/>
        <v>505.27149635839993</v>
      </c>
      <c r="G320" s="6">
        <f t="shared" si="584"/>
        <v>505.28076329537026</v>
      </c>
      <c r="H320" s="6">
        <f t="shared" si="584"/>
        <v>505.28735828910465</v>
      </c>
      <c r="I320" s="11">
        <v>595</v>
      </c>
      <c r="J320" s="11">
        <v>595</v>
      </c>
      <c r="K320" s="11">
        <v>595</v>
      </c>
      <c r="L320" s="11">
        <v>595</v>
      </c>
      <c r="M320" s="11">
        <v>595</v>
      </c>
    </row>
    <row r="321" spans="1:13" s="12" customFormat="1" x14ac:dyDescent="0.15">
      <c r="A321" s="10"/>
      <c r="B321" s="6"/>
      <c r="C321" s="6"/>
      <c r="D321" s="6"/>
      <c r="E321" s="6"/>
      <c r="F321" s="6"/>
      <c r="G321" s="6"/>
      <c r="H321" s="6"/>
      <c r="I321" s="11"/>
      <c r="J321" s="11"/>
      <c r="K321" s="11"/>
      <c r="L321" s="11"/>
      <c r="M321" s="11"/>
    </row>
    <row r="322" spans="1:13" s="12" customFormat="1" ht="12" x14ac:dyDescent="0.15">
      <c r="A322" s="24" t="s">
        <v>97</v>
      </c>
      <c r="B322" s="6"/>
      <c r="C322" s="6"/>
      <c r="D322" s="6"/>
      <c r="E322" s="6"/>
      <c r="F322" s="6"/>
      <c r="G322" s="6"/>
      <c r="H322" s="6"/>
      <c r="I322" s="11"/>
      <c r="J322" s="11"/>
      <c r="K322" s="11"/>
      <c r="L322" s="11"/>
      <c r="M322" s="11"/>
    </row>
    <row r="323" spans="1:13" s="9" customFormat="1" ht="12" x14ac:dyDescent="0.15">
      <c r="A323" s="41" t="s">
        <v>98</v>
      </c>
      <c r="B323" s="6">
        <f t="shared" ref="B323:E323" si="585">B307</f>
        <v>5454.8039999999983</v>
      </c>
      <c r="C323" s="6">
        <f t="shared" si="585"/>
        <v>1918.6140000000019</v>
      </c>
      <c r="D323" s="6">
        <f t="shared" si="585"/>
        <v>6043.8249999999989</v>
      </c>
      <c r="E323" s="6">
        <f t="shared" si="585"/>
        <v>9185.3789999999972</v>
      </c>
      <c r="F323" s="6">
        <f>F307</f>
        <v>9689.487000000001</v>
      </c>
      <c r="G323" s="6">
        <f t="shared" ref="G323:M323" si="586">G307</f>
        <v>8875.4950000000044</v>
      </c>
      <c r="H323" s="6">
        <f t="shared" si="586"/>
        <v>10000.796000000002</v>
      </c>
      <c r="I323" s="6">
        <f t="shared" si="586"/>
        <v>10184.065067197464</v>
      </c>
      <c r="J323" s="6">
        <f t="shared" si="586"/>
        <v>11244.789999829041</v>
      </c>
      <c r="K323" s="6">
        <f t="shared" si="586"/>
        <v>12484.756920804848</v>
      </c>
      <c r="L323" s="6">
        <f t="shared" si="586"/>
        <v>14198.29471118449</v>
      </c>
      <c r="M323" s="6">
        <f t="shared" si="586"/>
        <v>15915.108370496624</v>
      </c>
    </row>
    <row r="324" spans="1:13" x14ac:dyDescent="0.15">
      <c r="A324" s="42" t="s">
        <v>99</v>
      </c>
      <c r="B324" s="43">
        <v>22.733000000000001</v>
      </c>
      <c r="C324" s="43">
        <v>31.382000000000001</v>
      </c>
      <c r="D324" s="43">
        <v>3.3119999999999998</v>
      </c>
      <c r="E324" s="43">
        <v>35.531999999999996</v>
      </c>
      <c r="F324" s="43">
        <v>45.500999999999998</v>
      </c>
      <c r="G324" s="43">
        <v>335.08199999999999</v>
      </c>
      <c r="H324" s="43">
        <v>65.97</v>
      </c>
      <c r="I324" s="53">
        <f>H324*1.35</f>
        <v>89.0595</v>
      </c>
      <c r="J324" s="53">
        <f>I324*0.98</f>
        <v>87.278310000000005</v>
      </c>
      <c r="K324" s="53">
        <f>J324*0.87</f>
        <v>75.932129700000004</v>
      </c>
      <c r="L324" s="53">
        <f>K324*1.4</f>
        <v>106.30498158</v>
      </c>
      <c r="M324" s="53">
        <f>L324*1.07</f>
        <v>113.74633029060001</v>
      </c>
    </row>
    <row r="325" spans="1:13" x14ac:dyDescent="0.15">
      <c r="A325" s="42" t="s">
        <v>100</v>
      </c>
      <c r="B325" s="43">
        <v>5.2990000000000004</v>
      </c>
      <c r="C325" s="43">
        <v>86.596000000000004</v>
      </c>
      <c r="D325" s="43">
        <v>15.487</v>
      </c>
      <c r="E325" s="43">
        <v>41.444000000000003</v>
      </c>
      <c r="F325" s="43">
        <v>29.395</v>
      </c>
      <c r="G325" s="43">
        <v>24.707999999999998</v>
      </c>
      <c r="H325" s="43">
        <v>12.186</v>
      </c>
      <c r="I325" s="53">
        <f>H325*5.48</f>
        <v>66.77928</v>
      </c>
      <c r="J325" s="53">
        <f>I325*0.75</f>
        <v>50.08446</v>
      </c>
      <c r="K325" s="53">
        <f>J325*0.86</f>
        <v>43.072635599999998</v>
      </c>
      <c r="L325" s="53">
        <f>K325*1.09</f>
        <v>46.949172804</v>
      </c>
      <c r="M325" s="53">
        <f>L325*1.09</f>
        <v>51.174598356360001</v>
      </c>
    </row>
    <row r="326" spans="1:13" x14ac:dyDescent="0.15">
      <c r="A326" s="42" t="s">
        <v>101</v>
      </c>
      <c r="B326" s="44">
        <f t="shared" ref="B326:M326" si="587">B253+B258</f>
        <v>1776.1</v>
      </c>
      <c r="C326" s="44">
        <f t="shared" si="587"/>
        <v>2000.3999999999999</v>
      </c>
      <c r="D326" s="44">
        <f t="shared" si="587"/>
        <v>2050.5</v>
      </c>
      <c r="E326" s="44">
        <f t="shared" si="587"/>
        <v>2313.4</v>
      </c>
      <c r="F326" s="44">
        <f t="shared" si="587"/>
        <v>2545.6999999999998</v>
      </c>
      <c r="G326" s="44">
        <f t="shared" si="587"/>
        <v>3061</v>
      </c>
      <c r="H326" s="44">
        <f t="shared" si="587"/>
        <v>3751.8999999999996</v>
      </c>
      <c r="I326" s="44">
        <f t="shared" si="587"/>
        <v>4096.0844500000003</v>
      </c>
      <c r="J326" s="44">
        <f t="shared" si="587"/>
        <v>4353.2949698949997</v>
      </c>
      <c r="K326" s="44">
        <f t="shared" si="587"/>
        <v>4647.126327077327</v>
      </c>
      <c r="L326" s="44">
        <f t="shared" si="587"/>
        <v>4967.4350770348065</v>
      </c>
      <c r="M326" s="44">
        <f t="shared" si="587"/>
        <v>5305.3808941829602</v>
      </c>
    </row>
    <row r="327" spans="1:13" x14ac:dyDescent="0.15">
      <c r="A327" s="42" t="s">
        <v>102</v>
      </c>
      <c r="B327" s="43">
        <v>0.58599999999999997</v>
      </c>
      <c r="C327" s="43">
        <v>-14.375</v>
      </c>
      <c r="D327" s="43">
        <v>-3.49</v>
      </c>
      <c r="E327" s="43">
        <v>14.231999999999999</v>
      </c>
      <c r="F327" s="43">
        <v>-0.66800000000000004</v>
      </c>
      <c r="G327" s="43">
        <v>21.010999999999999</v>
      </c>
      <c r="H327" s="43">
        <v>1.5680000000000001</v>
      </c>
      <c r="I327" s="53">
        <f>-H327*4.5</f>
        <v>-7.056</v>
      </c>
      <c r="J327" s="53">
        <f>-I327*0.2</f>
        <v>1.4112</v>
      </c>
      <c r="K327" s="53">
        <f>J327*0.8</f>
        <v>1.12896</v>
      </c>
      <c r="L327" s="53">
        <f>-K327*3.45</f>
        <v>-3.8949120000000002</v>
      </c>
      <c r="M327" s="53">
        <f>L327*2.54</f>
        <v>-9.8930764800000013</v>
      </c>
    </row>
    <row r="328" spans="1:13" x14ac:dyDescent="0.15">
      <c r="A328" s="42" t="s">
        <v>103</v>
      </c>
      <c r="B328" s="43">
        <f>B301</f>
        <v>7.9000000000000001E-2</v>
      </c>
      <c r="C328" s="43">
        <f t="shared" ref="C328:H328" si="588">C301</f>
        <v>3.0000000000000001E-3</v>
      </c>
      <c r="D328" s="43">
        <f t="shared" si="588"/>
        <v>1E-3</v>
      </c>
      <c r="E328" s="43">
        <f t="shared" si="588"/>
        <v>0</v>
      </c>
      <c r="F328" s="43">
        <f t="shared" si="588"/>
        <v>0</v>
      </c>
      <c r="G328" s="43">
        <f t="shared" si="588"/>
        <v>0</v>
      </c>
      <c r="H328" s="43">
        <f t="shared" si="588"/>
        <v>0</v>
      </c>
      <c r="I328" s="53">
        <v>0</v>
      </c>
      <c r="J328" s="53">
        <v>0</v>
      </c>
      <c r="K328" s="53">
        <v>0</v>
      </c>
      <c r="L328" s="53">
        <v>0</v>
      </c>
      <c r="M328" s="53">
        <v>0</v>
      </c>
    </row>
    <row r="329" spans="1:13" x14ac:dyDescent="0.15">
      <c r="A329" s="42" t="s">
        <v>104</v>
      </c>
      <c r="B329" s="43">
        <v>149.77000000000001</v>
      </c>
      <c r="C329" s="43">
        <v>43.777999999999999</v>
      </c>
      <c r="D329" s="43">
        <v>-51.655999999999999</v>
      </c>
      <c r="E329" s="43">
        <v>-6.9669999999999996</v>
      </c>
      <c r="F329" s="43">
        <v>0</v>
      </c>
      <c r="G329" s="43">
        <v>0</v>
      </c>
      <c r="H329" s="43">
        <v>0</v>
      </c>
      <c r="I329" s="53">
        <v>0</v>
      </c>
      <c r="J329" s="53">
        <v>0</v>
      </c>
      <c r="K329" s="53">
        <v>0</v>
      </c>
      <c r="L329" s="53">
        <v>0</v>
      </c>
      <c r="M329" s="53">
        <v>0</v>
      </c>
    </row>
    <row r="330" spans="1:13" x14ac:dyDescent="0.15">
      <c r="A330" s="42" t="s">
        <v>105</v>
      </c>
      <c r="B330" s="44">
        <v>1142.086</v>
      </c>
      <c r="C330" s="44">
        <v>1388.0719999999999</v>
      </c>
      <c r="D330" s="44">
        <v>1687.895</v>
      </c>
      <c r="E330" s="44">
        <v>2356.116</v>
      </c>
      <c r="F330" s="44">
        <v>3439.2759999999998</v>
      </c>
      <c r="G330" s="44">
        <v>4201.085</v>
      </c>
      <c r="H330" s="44">
        <v>4458.335</v>
      </c>
      <c r="I330" s="53">
        <f>-I293</f>
        <v>5641.3328012454394</v>
      </c>
      <c r="J330" s="53">
        <f t="shared" ref="J330:M330" si="589">-J293</f>
        <v>6082.4362070766683</v>
      </c>
      <c r="K330" s="53">
        <f t="shared" si="589"/>
        <v>6556.7604497293951</v>
      </c>
      <c r="L330" s="53">
        <f t="shared" si="589"/>
        <v>6865.5444633031775</v>
      </c>
      <c r="M330" s="53">
        <f t="shared" si="589"/>
        <v>7307.8226713932245</v>
      </c>
    </row>
    <row r="331" spans="1:13" x14ac:dyDescent="0.15">
      <c r="A331" s="42" t="s">
        <v>106</v>
      </c>
      <c r="B331" s="43">
        <v>-111.544</v>
      </c>
      <c r="C331" s="43">
        <v>57.78</v>
      </c>
      <c r="D331" s="43">
        <v>-5.4269999999999996</v>
      </c>
      <c r="E331" s="43">
        <v>-261.25799999999998</v>
      </c>
      <c r="F331" s="43">
        <v>-311.96899999999999</v>
      </c>
      <c r="G331" s="43">
        <v>519.67200000000003</v>
      </c>
      <c r="H331" s="43">
        <v>-94.638999999999996</v>
      </c>
      <c r="I331" s="53">
        <f>H331*1.45</f>
        <v>-137.22655</v>
      </c>
      <c r="J331" s="53">
        <f>I331*0.8</f>
        <v>-109.78124000000001</v>
      </c>
      <c r="K331" s="53">
        <f>J331*0.85</f>
        <v>-93.314054000000013</v>
      </c>
      <c r="L331" s="53">
        <f>K331*0.95</f>
        <v>-88.648351300000002</v>
      </c>
      <c r="M331" s="53">
        <f>L331*0.94</f>
        <v>-83.329450221999991</v>
      </c>
    </row>
    <row r="332" spans="1:13" x14ac:dyDescent="0.15">
      <c r="A332" s="42" t="s">
        <v>107</v>
      </c>
      <c r="B332" s="43">
        <v>6.93</v>
      </c>
      <c r="C332" s="43">
        <v>0.42799999999999999</v>
      </c>
      <c r="D332" s="43">
        <v>11.754</v>
      </c>
      <c r="E332" s="43">
        <v>3.2850000000000001</v>
      </c>
      <c r="F332" s="43">
        <v>22.986000000000001</v>
      </c>
      <c r="G332" s="43">
        <v>77.867000000000004</v>
      </c>
      <c r="H332" s="43">
        <v>177.72</v>
      </c>
      <c r="I332" s="53">
        <f>H332*0.24</f>
        <v>42.652799999999999</v>
      </c>
      <c r="J332" s="53">
        <f>I332*0.23</f>
        <v>9.8101440000000011</v>
      </c>
      <c r="K332" s="53">
        <f>J332*0.84</f>
        <v>8.2405209600000013</v>
      </c>
      <c r="L332" s="53">
        <f>K332*0.86</f>
        <v>7.086848025600001</v>
      </c>
      <c r="M332" s="53">
        <f>L332*0.97</f>
        <v>6.8742425848320012</v>
      </c>
    </row>
    <row r="333" spans="1:13" x14ac:dyDescent="0.15">
      <c r="A333" s="42" t="s">
        <v>108</v>
      </c>
      <c r="B333" s="44">
        <f>B305</f>
        <v>1891.443</v>
      </c>
      <c r="C333" s="44">
        <f t="shared" ref="C333:M333" si="590">C305</f>
        <v>467.06700000000001</v>
      </c>
      <c r="D333" s="44">
        <f t="shared" si="590"/>
        <v>1785.546</v>
      </c>
      <c r="E333" s="44">
        <f t="shared" si="590"/>
        <v>3090.212</v>
      </c>
      <c r="F333" s="44">
        <f t="shared" si="590"/>
        <v>3072.09</v>
      </c>
      <c r="G333" s="44">
        <f t="shared" si="590"/>
        <v>3240.3020000000001</v>
      </c>
      <c r="H333" s="44">
        <f t="shared" si="590"/>
        <v>4113.2280000000001</v>
      </c>
      <c r="I333" s="44">
        <f t="shared" si="590"/>
        <v>4251.1795354920669</v>
      </c>
      <c r="J333" s="44">
        <f t="shared" si="590"/>
        <v>4718.852816509745</v>
      </c>
      <c r="K333" s="44">
        <f t="shared" si="590"/>
        <v>5297.2640460159009</v>
      </c>
      <c r="L333" s="44">
        <f t="shared" si="590"/>
        <v>5895.5274105031549</v>
      </c>
      <c r="M333" s="44">
        <f t="shared" si="590"/>
        <v>6624.3454894334482</v>
      </c>
    </row>
    <row r="334" spans="1:13" x14ac:dyDescent="0.15">
      <c r="A334" s="45"/>
      <c r="B334" s="44"/>
      <c r="C334" s="44"/>
      <c r="D334" s="44"/>
      <c r="E334" s="44"/>
      <c r="F334" s="44"/>
      <c r="G334" s="44"/>
      <c r="H334" s="44"/>
      <c r="I334" s="53"/>
      <c r="J334" s="53"/>
      <c r="K334" s="53"/>
      <c r="L334" s="53"/>
      <c r="M334" s="53"/>
    </row>
    <row r="335" spans="1:13" ht="10" customHeight="1" x14ac:dyDescent="0.15">
      <c r="A335" s="45" t="s">
        <v>109</v>
      </c>
      <c r="B335" s="43"/>
      <c r="C335" s="43"/>
      <c r="D335" s="43"/>
      <c r="E335" s="43"/>
      <c r="F335" s="43"/>
      <c r="G335" s="43"/>
      <c r="H335" s="43"/>
      <c r="I335" s="53"/>
      <c r="J335" s="53"/>
      <c r="K335" s="53"/>
      <c r="L335" s="53"/>
      <c r="M335" s="53"/>
    </row>
    <row r="336" spans="1:13" x14ac:dyDescent="0.15">
      <c r="A336" s="42" t="s">
        <v>110</v>
      </c>
      <c r="B336" s="43">
        <v>-101.53700000000001</v>
      </c>
      <c r="C336" s="43">
        <v>164.25800000000001</v>
      </c>
      <c r="D336" s="43">
        <v>-464.39499999999998</v>
      </c>
      <c r="E336" s="43">
        <v>-705.57600000000002</v>
      </c>
      <c r="F336" s="43">
        <v>50.837000000000003</v>
      </c>
      <c r="G336" s="43">
        <v>-432.95499999999998</v>
      </c>
      <c r="H336" s="43">
        <v>-841.88499999999999</v>
      </c>
      <c r="I336" s="53">
        <f>H336*0.87</f>
        <v>-732.43994999999995</v>
      </c>
      <c r="J336" s="53">
        <f>I336*0.54</f>
        <v>-395.51757300000003</v>
      </c>
      <c r="K336" s="53">
        <f>J336*1.07</f>
        <v>-423.20380311000008</v>
      </c>
      <c r="L336" s="53">
        <f>K336*1.12</f>
        <v>-473.98825948320012</v>
      </c>
      <c r="M336" s="53">
        <f>L336*1.09</f>
        <v>-516.64720283668817</v>
      </c>
    </row>
    <row r="337" spans="1:18" x14ac:dyDescent="0.15">
      <c r="A337" s="42" t="s">
        <v>111</v>
      </c>
      <c r="B337" s="43">
        <v>-28.591000000000001</v>
      </c>
      <c r="C337" s="43">
        <v>-814.27099999999996</v>
      </c>
      <c r="D337" s="43">
        <v>-299.84199999999998</v>
      </c>
      <c r="E337" s="43">
        <v>601.43399999999997</v>
      </c>
      <c r="F337" s="43">
        <v>-469.839</v>
      </c>
      <c r="G337" s="43">
        <v>173.46100000000001</v>
      </c>
      <c r="H337" s="43">
        <v>32.267000000000003</v>
      </c>
      <c r="I337" s="53">
        <f>H337*-2.43</f>
        <v>-78.408810000000017</v>
      </c>
      <c r="J337" s="53">
        <f>I337*1.54</f>
        <v>-120.74956740000003</v>
      </c>
      <c r="K337" s="53">
        <f>J337*1.18</f>
        <v>-142.48448953200003</v>
      </c>
      <c r="L337" s="53">
        <f>K337*1.14</f>
        <v>-162.43231806648001</v>
      </c>
      <c r="M337" s="53">
        <f>L337*1.12</f>
        <v>-181.92419623445764</v>
      </c>
    </row>
    <row r="338" spans="1:18" x14ac:dyDescent="0.15">
      <c r="A338" s="42" t="s">
        <v>112</v>
      </c>
      <c r="B338" s="44">
        <v>57.378</v>
      </c>
      <c r="C338" s="44">
        <v>-253.63300000000001</v>
      </c>
      <c r="D338" s="44">
        <v>94.879000000000005</v>
      </c>
      <c r="E338" s="44">
        <v>-10.718999999999999</v>
      </c>
      <c r="F338" s="44">
        <v>374.87200000000001</v>
      </c>
      <c r="G338" s="44">
        <v>-540.64400000000001</v>
      </c>
      <c r="H338" s="44">
        <v>-42.884</v>
      </c>
      <c r="I338" s="53">
        <f>H338*1.25</f>
        <v>-53.605000000000004</v>
      </c>
      <c r="J338" s="53">
        <f>I338*1.16</f>
        <v>-62.181800000000003</v>
      </c>
      <c r="K338" s="53">
        <f>J338*1.16</f>
        <v>-72.130887999999999</v>
      </c>
      <c r="L338" s="53">
        <f>K338*1.18</f>
        <v>-85.114447839999997</v>
      </c>
      <c r="M338" s="53">
        <f>L338*1.16</f>
        <v>-98.732759494399986</v>
      </c>
    </row>
    <row r="339" spans="1:18" x14ac:dyDescent="0.15">
      <c r="A339" s="42" t="s">
        <v>113</v>
      </c>
      <c r="B339" s="43">
        <v>56.984999999999999</v>
      </c>
      <c r="C339" s="43">
        <v>-198.358</v>
      </c>
      <c r="D339" s="43">
        <v>237.20500000000001</v>
      </c>
      <c r="E339" s="43">
        <v>227.51400000000001</v>
      </c>
      <c r="F339" s="43">
        <v>101.20099999999999</v>
      </c>
      <c r="G339" s="43">
        <v>-18.311</v>
      </c>
      <c r="H339" s="43">
        <v>124.363</v>
      </c>
      <c r="I339" s="53">
        <f>H339*0.29</f>
        <v>36.065269999999998</v>
      </c>
      <c r="J339" s="53">
        <v>0</v>
      </c>
      <c r="K339" s="53">
        <v>0</v>
      </c>
      <c r="L339" s="53">
        <v>0</v>
      </c>
      <c r="M339" s="53">
        <v>0</v>
      </c>
    </row>
    <row r="340" spans="1:18" x14ac:dyDescent="0.15">
      <c r="A340" s="42" t="s">
        <v>114</v>
      </c>
      <c r="B340" s="43">
        <v>11.641999999999999</v>
      </c>
      <c r="C340" s="43">
        <v>-85.718000000000004</v>
      </c>
      <c r="D340" s="43">
        <v>959.17700000000002</v>
      </c>
      <c r="E340" s="43">
        <v>-139.79400000000001</v>
      </c>
      <c r="F340" s="43">
        <v>-213.268</v>
      </c>
      <c r="G340" s="43">
        <v>739.03599999999994</v>
      </c>
      <c r="H340" s="43">
        <v>1007.021</v>
      </c>
      <c r="I340" s="53">
        <f>H340*0.54</f>
        <v>543.79133999999999</v>
      </c>
      <c r="J340" s="53">
        <f>I340*1.13</f>
        <v>614.48421419999988</v>
      </c>
      <c r="K340" s="53">
        <f>J340*1.09</f>
        <v>669.78779347799991</v>
      </c>
      <c r="L340" s="53">
        <f>K340*1.14</f>
        <v>763.5580845649198</v>
      </c>
      <c r="M340" s="53">
        <f>L340*1.09</f>
        <v>832.27831217576261</v>
      </c>
    </row>
    <row r="341" spans="1:18" x14ac:dyDescent="0.15">
      <c r="A341" s="42" t="s">
        <v>115</v>
      </c>
      <c r="B341" s="43">
        <v>-33.539000000000001</v>
      </c>
      <c r="C341" s="43">
        <v>43.252000000000002</v>
      </c>
      <c r="D341" s="43">
        <v>-41.99</v>
      </c>
      <c r="E341" s="43">
        <v>23.228999999999999</v>
      </c>
      <c r="F341" s="43">
        <v>-47.180999999999997</v>
      </c>
      <c r="G341" s="43">
        <v>84.613</v>
      </c>
      <c r="H341" s="43">
        <v>127.818</v>
      </c>
      <c r="I341" s="53">
        <f>H341*0.84</f>
        <v>107.36712</v>
      </c>
      <c r="J341" s="53">
        <f>I341*0.8</f>
        <v>85.893696000000006</v>
      </c>
      <c r="K341" s="53">
        <f>J341*0.93</f>
        <v>79.881137280000004</v>
      </c>
      <c r="L341" s="53">
        <f>K341*1.28</f>
        <v>102.2478557184</v>
      </c>
      <c r="M341" s="53">
        <f>L341*1.06</f>
        <v>108.38272706150401</v>
      </c>
    </row>
    <row r="342" spans="1:18" x14ac:dyDescent="0.15">
      <c r="A342" s="42" t="s">
        <v>116</v>
      </c>
      <c r="B342" s="44">
        <v>26.672999999999998</v>
      </c>
      <c r="C342" s="44">
        <v>-456.78699999999998</v>
      </c>
      <c r="D342" s="44">
        <v>89.858999999999995</v>
      </c>
      <c r="E342" s="44">
        <v>109.06100000000001</v>
      </c>
      <c r="F342" s="44">
        <v>108.236</v>
      </c>
      <c r="G342" s="44">
        <v>87.698999999999998</v>
      </c>
      <c r="H342" s="44">
        <v>100.86</v>
      </c>
      <c r="I342" s="53">
        <f>H342*1.05</f>
        <v>105.90300000000001</v>
      </c>
      <c r="J342" s="53">
        <f>I342*1.08</f>
        <v>114.37524000000002</v>
      </c>
      <c r="K342" s="53">
        <f>J342*1.04</f>
        <v>118.95024960000002</v>
      </c>
      <c r="L342" s="53">
        <f>K342*1.09</f>
        <v>129.65577206400002</v>
      </c>
      <c r="M342" s="53">
        <f>L342*1.09</f>
        <v>141.32479154976002</v>
      </c>
    </row>
    <row r="343" spans="1:18" x14ac:dyDescent="0.15">
      <c r="A343" s="42"/>
      <c r="B343" s="43"/>
      <c r="C343" s="43"/>
      <c r="D343" s="43"/>
      <c r="E343" s="43"/>
      <c r="F343" s="43"/>
      <c r="G343" s="43"/>
      <c r="H343" s="43"/>
      <c r="I343" s="53"/>
      <c r="J343" s="53"/>
      <c r="K343" s="53"/>
      <c r="L343" s="53"/>
      <c r="M343" s="53"/>
    </row>
    <row r="344" spans="1:18" x14ac:dyDescent="0.15">
      <c r="A344" s="42" t="s">
        <v>158</v>
      </c>
      <c r="B344" s="43">
        <f>SUM(B323+B324+B325+B326+B327+B328+B329+B330+B331+B332+B333+B336+B337+B338+B339+B340+B341+B342)</f>
        <v>10327.296999999999</v>
      </c>
      <c r="C344" s="43">
        <f t="shared" ref="C344:M344" si="591">SUM(C323+C324+C325+C326+C327+C328+C329+C330+C331+C332+C333+C336+C337+C338+C339+C340+C341+C342)</f>
        <v>4378.4880000000021</v>
      </c>
      <c r="D344" s="43">
        <f t="shared" si="591"/>
        <v>12112.640000000001</v>
      </c>
      <c r="E344" s="43">
        <f t="shared" si="591"/>
        <v>16876.523999999994</v>
      </c>
      <c r="F344" s="43">
        <f t="shared" si="591"/>
        <v>18436.656000000003</v>
      </c>
      <c r="G344" s="43">
        <f t="shared" si="591"/>
        <v>20449.120999999999</v>
      </c>
      <c r="H344" s="43">
        <f t="shared" si="591"/>
        <v>22994.624000000007</v>
      </c>
      <c r="I344" s="43">
        <f>SUM(I323+I324+I325+I326+I327+I328+I329+I330+I331+I332+I333+I336+I337+I338+I339+I340+I341+I342)</f>
        <v>24155.543853934967</v>
      </c>
      <c r="J344" s="43">
        <f t="shared" si="591"/>
        <v>26674.481077110457</v>
      </c>
      <c r="K344" s="43">
        <f t="shared" si="591"/>
        <v>29251.767935603471</v>
      </c>
      <c r="L344" s="43">
        <f t="shared" si="591"/>
        <v>32268.526088092873</v>
      </c>
      <c r="M344" s="43">
        <f t="shared" si="591"/>
        <v>35515.911742257529</v>
      </c>
    </row>
    <row r="345" spans="1:18" x14ac:dyDescent="0.15">
      <c r="A345" s="42" t="s">
        <v>117</v>
      </c>
      <c r="B345" s="44">
        <v>-2163.0569999999998</v>
      </c>
      <c r="C345" s="44">
        <v>-811.96500000000003</v>
      </c>
      <c r="D345" s="44">
        <v>-1017.12</v>
      </c>
      <c r="E345" s="44">
        <v>-4356.8329999999996</v>
      </c>
      <c r="F345" s="44">
        <v>-4501.9170000000004</v>
      </c>
      <c r="G345" s="44">
        <v>-3474.7640000000001</v>
      </c>
      <c r="H345" s="44">
        <v>-4744.7460000000001</v>
      </c>
      <c r="I345" s="53">
        <f>-I305*1.03</f>
        <v>-4378.7149215568288</v>
      </c>
      <c r="J345" s="53">
        <f>-J305*1.03</f>
        <v>-4860.4184010050376</v>
      </c>
      <c r="K345" s="53">
        <f>J345*1.09</f>
        <v>-5297.8560570954915</v>
      </c>
      <c r="L345" s="53">
        <f>K345*1.06</f>
        <v>-5615.7274205212216</v>
      </c>
      <c r="M345" s="53">
        <f>L345*1.09</f>
        <v>-6121.1428883681319</v>
      </c>
    </row>
    <row r="346" spans="1:18" s="47" customFormat="1" x14ac:dyDescent="0.15">
      <c r="A346" s="45" t="s">
        <v>118</v>
      </c>
      <c r="B346" s="46">
        <f t="shared" ref="B346:M346" si="592">B344+B345</f>
        <v>8164.2399999999989</v>
      </c>
      <c r="C346" s="46">
        <f t="shared" si="592"/>
        <v>3566.523000000002</v>
      </c>
      <c r="D346" s="46">
        <f t="shared" si="592"/>
        <v>11095.52</v>
      </c>
      <c r="E346" s="46">
        <f t="shared" si="592"/>
        <v>12519.690999999995</v>
      </c>
      <c r="F346" s="46">
        <f t="shared" si="592"/>
        <v>13934.739000000001</v>
      </c>
      <c r="G346" s="46">
        <f t="shared" si="592"/>
        <v>16974.357</v>
      </c>
      <c r="H346" s="46">
        <f t="shared" si="592"/>
        <v>18249.878000000008</v>
      </c>
      <c r="I346" s="46">
        <f t="shared" si="592"/>
        <v>19776.828932378139</v>
      </c>
      <c r="J346" s="46">
        <f t="shared" si="592"/>
        <v>21814.062676105419</v>
      </c>
      <c r="K346" s="46">
        <f t="shared" si="592"/>
        <v>23953.911878507981</v>
      </c>
      <c r="L346" s="46">
        <f t="shared" si="592"/>
        <v>26652.798667571653</v>
      </c>
      <c r="M346" s="46">
        <f t="shared" si="592"/>
        <v>29394.768853889396</v>
      </c>
      <c r="O346" s="29">
        <f>(H346/B346)^(1/6)-1</f>
        <v>0.14346804844935779</v>
      </c>
      <c r="P346" s="29">
        <f>(H346/E346)^(1/3)-1</f>
        <v>0.13384960162035076</v>
      </c>
      <c r="Q346" s="29">
        <f>(M346/H346)^(1/5)-1</f>
        <v>0.10002363579489049</v>
      </c>
      <c r="R346" s="29">
        <f>(M346/I346)^(1/4)-1</f>
        <v>0.10415068985513964</v>
      </c>
    </row>
    <row r="347" spans="1:18" x14ac:dyDescent="0.15">
      <c r="A347" s="42"/>
      <c r="B347" s="44"/>
      <c r="C347" s="44"/>
      <c r="D347" s="44"/>
      <c r="E347" s="44"/>
      <c r="F347" s="44"/>
      <c r="G347" s="44"/>
      <c r="H347" s="44"/>
    </row>
    <row r="348" spans="1:18" x14ac:dyDescent="0.15">
      <c r="A348" s="42" t="s">
        <v>119</v>
      </c>
      <c r="B348" s="44">
        <v>-2478.9879999999998</v>
      </c>
      <c r="C348" s="44">
        <v>-3160.1109999999999</v>
      </c>
      <c r="D348" s="44">
        <v>-4946.7839999999997</v>
      </c>
      <c r="E348" s="44">
        <v>-8431.1059999999998</v>
      </c>
      <c r="F348" s="44">
        <v>-10444.346</v>
      </c>
      <c r="G348" s="44">
        <v>-7844.9830000000002</v>
      </c>
      <c r="H348" s="44">
        <v>-12396.949000000001</v>
      </c>
      <c r="I348" s="53">
        <f>H348*0.97</f>
        <v>-12025.04053</v>
      </c>
      <c r="J348" s="53">
        <f>I348*0.94</f>
        <v>-11303.538098199999</v>
      </c>
      <c r="K348" s="53">
        <f>J348*0.83</f>
        <v>-9381.9366215059981</v>
      </c>
      <c r="L348" s="53">
        <f>K348*1.04</f>
        <v>-9757.2140863662389</v>
      </c>
      <c r="M348" s="53">
        <f>L348*1.44</f>
        <v>-14050.388284367384</v>
      </c>
    </row>
    <row r="349" spans="1:18" s="86" customFormat="1" ht="12" x14ac:dyDescent="0.15">
      <c r="A349" s="84" t="s">
        <v>153</v>
      </c>
      <c r="B349" s="85">
        <v>306.79199999999997</v>
      </c>
      <c r="C349" s="85">
        <v>2936.5</v>
      </c>
      <c r="D349" s="85">
        <v>4123.5879999999997</v>
      </c>
      <c r="E349" s="85">
        <v>3517.9090000000001</v>
      </c>
      <c r="F349" s="85">
        <v>2696.24</v>
      </c>
      <c r="G349" s="85">
        <v>2527.85</v>
      </c>
      <c r="H349" s="85">
        <v>10946.67</v>
      </c>
      <c r="I349" s="85">
        <v>7360.817</v>
      </c>
      <c r="J349" s="85">
        <v>8788.0930000000008</v>
      </c>
      <c r="K349" s="85">
        <v>6852.0959999999995</v>
      </c>
      <c r="L349" s="85">
        <v>9237.2829999999994</v>
      </c>
      <c r="M349" s="85" t="s">
        <v>154</v>
      </c>
    </row>
    <row r="350" spans="1:18" x14ac:dyDescent="0.15">
      <c r="A350" s="42" t="s">
        <v>120</v>
      </c>
      <c r="B350" s="44">
        <v>0</v>
      </c>
      <c r="C350" s="44">
        <v>0</v>
      </c>
      <c r="D350" s="44">
        <v>0</v>
      </c>
      <c r="E350" s="44">
        <v>0</v>
      </c>
      <c r="F350" s="44">
        <v>-614.79200000000003</v>
      </c>
      <c r="G350" s="44">
        <v>-875.50400000000002</v>
      </c>
      <c r="H350" s="44">
        <v>-19.262</v>
      </c>
      <c r="I350" s="53">
        <v>-8445.06</v>
      </c>
      <c r="J350" s="53">
        <v>0</v>
      </c>
      <c r="K350" s="53">
        <v>0</v>
      </c>
      <c r="L350" s="53">
        <v>0</v>
      </c>
      <c r="M350" s="53">
        <v>0</v>
      </c>
    </row>
    <row r="351" spans="1:18" x14ac:dyDescent="0.15">
      <c r="A351" s="42"/>
      <c r="B351" s="44"/>
      <c r="C351" s="44"/>
      <c r="D351" s="44"/>
      <c r="E351" s="44"/>
      <c r="F351" s="44"/>
      <c r="G351" s="44"/>
      <c r="H351" s="44"/>
    </row>
    <row r="352" spans="1:18" x14ac:dyDescent="0.15">
      <c r="A352" s="48" t="s">
        <v>161</v>
      </c>
      <c r="B352" s="88">
        <f t="shared" ref="B352:E352" si="593">B346+B348+B350</f>
        <v>5685.2519999999986</v>
      </c>
      <c r="C352" s="88">
        <f t="shared" si="593"/>
        <v>406.41200000000208</v>
      </c>
      <c r="D352" s="88">
        <f t="shared" si="593"/>
        <v>6148.7360000000008</v>
      </c>
      <c r="E352" s="88">
        <f t="shared" si="593"/>
        <v>4088.5849999999955</v>
      </c>
      <c r="F352" s="88">
        <f>F346+F348+F350</f>
        <v>2875.6010000000019</v>
      </c>
      <c r="G352" s="88">
        <f t="shared" ref="G352:M352" si="594">G346+G348+G350</f>
        <v>8253.869999999999</v>
      </c>
      <c r="H352" s="88">
        <f t="shared" si="594"/>
        <v>5833.6670000000076</v>
      </c>
      <c r="I352" s="88">
        <f t="shared" si="594"/>
        <v>-693.27159762186056</v>
      </c>
      <c r="J352" s="88">
        <f t="shared" si="594"/>
        <v>10510.52457790542</v>
      </c>
      <c r="K352" s="88">
        <f t="shared" si="594"/>
        <v>14571.975257001983</v>
      </c>
      <c r="L352" s="88">
        <f t="shared" si="594"/>
        <v>16895.584581205414</v>
      </c>
      <c r="M352" s="88">
        <f t="shared" si="594"/>
        <v>15344.380569522013</v>
      </c>
      <c r="O352" s="29">
        <f>(H352/B352)^(1/6)-1</f>
        <v>4.3042931783805471E-3</v>
      </c>
      <c r="P352" s="29">
        <f>(H352/E352)^(1/3)-1</f>
        <v>0.12578692730790064</v>
      </c>
      <c r="Q352" s="29">
        <f>(M352/H352)^(1/5)-1</f>
        <v>0.21339316786745011</v>
      </c>
      <c r="R352" s="29" t="e">
        <f>(M352/I352)^(1/4)-1</f>
        <v>#NUM!</v>
      </c>
    </row>
    <row r="353" spans="1:13" s="16" customFormat="1" ht="12" x14ac:dyDescent="0.15">
      <c r="A353" s="13" t="s">
        <v>13</v>
      </c>
      <c r="B353" s="14"/>
      <c r="C353" s="14">
        <f t="shared" ref="C353:F353" si="595">(C352/B352)-1</f>
        <v>-0.92851469028989353</v>
      </c>
      <c r="D353" s="14">
        <f t="shared" si="595"/>
        <v>14.129317047724893</v>
      </c>
      <c r="E353" s="14">
        <f t="shared" si="595"/>
        <v>-0.33505276531631945</v>
      </c>
      <c r="F353" s="14">
        <f t="shared" si="595"/>
        <v>-0.29667574478700942</v>
      </c>
      <c r="G353" s="14">
        <f>(G352/F352)-1</f>
        <v>1.8703112844932219</v>
      </c>
      <c r="H353" s="14">
        <f>(H352/G352)-1</f>
        <v>-0.29322039237351594</v>
      </c>
      <c r="I353" s="14" t="s">
        <v>155</v>
      </c>
      <c r="J353" s="14" t="s">
        <v>155</v>
      </c>
      <c r="K353" s="14">
        <f t="shared" ref="K353:M353" si="596">(K352/J352)-1</f>
        <v>0.38641750456816348</v>
      </c>
      <c r="L353" s="14">
        <f t="shared" si="596"/>
        <v>0.15945740252934582</v>
      </c>
      <c r="M353" s="14">
        <f t="shared" si="596"/>
        <v>-9.1811206900112574E-2</v>
      </c>
    </row>
    <row r="354" spans="1:13" x14ac:dyDescent="0.15">
      <c r="A354" s="89" t="s">
        <v>121</v>
      </c>
      <c r="B354" s="90">
        <f t="shared" ref="B354:M354" si="597">B352/B209</f>
        <v>0.35037914458276836</v>
      </c>
      <c r="C354" s="90">
        <f t="shared" si="597"/>
        <v>3.4249260510858651E-2</v>
      </c>
      <c r="D354" s="90">
        <f t="shared" si="597"/>
        <v>0.32336409868050847</v>
      </c>
      <c r="E354" s="90">
        <f t="shared" si="597"/>
        <v>0.14932579263192866</v>
      </c>
      <c r="F354" s="90">
        <f t="shared" si="597"/>
        <v>8.6551659789129015E-2</v>
      </c>
      <c r="G354" s="90">
        <f t="shared" si="597"/>
        <v>0.24554565900328426</v>
      </c>
      <c r="H354" s="90">
        <f t="shared" si="597"/>
        <v>0.14088022565306341</v>
      </c>
      <c r="I354" s="90">
        <f t="shared" si="597"/>
        <v>-1.5044063784887268E-2</v>
      </c>
      <c r="J354" s="90">
        <f t="shared" si="597"/>
        <v>0.20856818217286893</v>
      </c>
      <c r="K354" s="90">
        <f t="shared" si="597"/>
        <v>0.27485480170850801</v>
      </c>
      <c r="L354" s="90">
        <f t="shared" si="597"/>
        <v>0.29047788443107725</v>
      </c>
      <c r="M354" s="90">
        <f t="shared" si="597"/>
        <v>0.24913797302012339</v>
      </c>
    </row>
    <row r="355" spans="1:13" x14ac:dyDescent="0.15">
      <c r="A355" s="38"/>
      <c r="B355" s="50"/>
      <c r="C355" s="50"/>
      <c r="D355" s="50"/>
      <c r="E355" s="50"/>
      <c r="F355" s="50"/>
      <c r="G355" s="50"/>
      <c r="H355" s="50"/>
    </row>
    <row r="356" spans="1:13" x14ac:dyDescent="0.15">
      <c r="A356" s="51" t="s">
        <v>122</v>
      </c>
      <c r="B356" s="44">
        <v>4425.3459999999995</v>
      </c>
      <c r="C356" s="44">
        <v>0</v>
      </c>
      <c r="D356" s="44">
        <v>0</v>
      </c>
      <c r="E356" s="44">
        <v>7313.7430000000004</v>
      </c>
      <c r="F356" s="44">
        <v>7498.3180000000002</v>
      </c>
      <c r="G356" s="44">
        <v>0</v>
      </c>
      <c r="H356" s="44">
        <v>8508.8719999999994</v>
      </c>
      <c r="I356" s="53">
        <f>I357*I311</f>
        <v>7206.8073539666284</v>
      </c>
      <c r="J356" s="53">
        <f t="shared" ref="J356:M356" si="598">J357*J311</f>
        <v>7976.2095895403918</v>
      </c>
      <c r="K356" s="53">
        <f t="shared" si="598"/>
        <v>8902.4098598512592</v>
      </c>
      <c r="L356" s="53">
        <f t="shared" si="598"/>
        <v>10151.699477389964</v>
      </c>
      <c r="M356" s="53">
        <f t="shared" si="598"/>
        <v>11399.090687316006</v>
      </c>
    </row>
    <row r="357" spans="1:13" x14ac:dyDescent="0.15">
      <c r="A357" s="49" t="s">
        <v>123</v>
      </c>
      <c r="B357" s="52">
        <f t="shared" ref="B357:H357" si="599">B356/B311</f>
        <v>0.82559129169096623</v>
      </c>
      <c r="C357" s="52">
        <f t="shared" si="599"/>
        <v>0</v>
      </c>
      <c r="D357" s="52">
        <f t="shared" si="599"/>
        <v>0</v>
      </c>
      <c r="E357" s="52">
        <f t="shared" si="599"/>
        <v>0.81146131188414339</v>
      </c>
      <c r="F357" s="52">
        <f t="shared" si="599"/>
        <v>0.78575667369709867</v>
      </c>
      <c r="G357" s="52">
        <f t="shared" si="599"/>
        <v>0</v>
      </c>
      <c r="H357" s="52">
        <f t="shared" si="599"/>
        <v>0.88955081451211737</v>
      </c>
      <c r="I357" s="16">
        <v>0.74539999999999995</v>
      </c>
      <c r="J357" s="16">
        <v>0.74719999999999998</v>
      </c>
      <c r="K357" s="16">
        <v>0.75019999999999998</v>
      </c>
      <c r="L357" s="16">
        <v>0.75090000000000001</v>
      </c>
      <c r="M357" s="16">
        <v>0.751</v>
      </c>
    </row>
    <row r="358" spans="1:13" x14ac:dyDescent="0.15">
      <c r="A358" s="51" t="s">
        <v>124</v>
      </c>
      <c r="B358" s="43">
        <v>0</v>
      </c>
      <c r="C358" s="43">
        <v>0</v>
      </c>
      <c r="D358" s="43">
        <v>0</v>
      </c>
      <c r="E358" s="43">
        <v>0</v>
      </c>
      <c r="F358" s="43">
        <v>0</v>
      </c>
      <c r="G358" s="43">
        <v>0</v>
      </c>
      <c r="H358" s="43">
        <v>0</v>
      </c>
      <c r="I358" s="53">
        <v>0</v>
      </c>
      <c r="J358" s="53">
        <v>0</v>
      </c>
      <c r="K358" s="53">
        <v>0</v>
      </c>
      <c r="L358" s="53">
        <v>0</v>
      </c>
      <c r="M358" s="53">
        <v>0</v>
      </c>
    </row>
    <row r="359" spans="1:13" x14ac:dyDescent="0.15">
      <c r="A359" s="51" t="s">
        <v>125</v>
      </c>
      <c r="B359" s="43">
        <v>1592.4939999999999</v>
      </c>
      <c r="C359" s="43">
        <v>0</v>
      </c>
      <c r="D359" s="43">
        <f>3000.037+6014.701</f>
        <v>9014.7379999999994</v>
      </c>
      <c r="E359" s="43">
        <v>1999.9870000000001</v>
      </c>
      <c r="F359" s="43">
        <v>0</v>
      </c>
      <c r="G359" s="43">
        <v>7003.1459999999997</v>
      </c>
      <c r="H359" s="43">
        <v>0</v>
      </c>
      <c r="I359" s="53">
        <v>0</v>
      </c>
      <c r="J359" s="53">
        <v>0</v>
      </c>
      <c r="K359" s="53">
        <v>0</v>
      </c>
      <c r="L359" s="53">
        <v>0</v>
      </c>
      <c r="M359" s="53">
        <v>0</v>
      </c>
    </row>
    <row r="360" spans="1:13" x14ac:dyDescent="0.15">
      <c r="A360" s="49" t="s">
        <v>126</v>
      </c>
      <c r="B360" s="54"/>
      <c r="C360" s="54"/>
      <c r="D360" s="54"/>
      <c r="E360" s="54"/>
      <c r="F360" s="54"/>
      <c r="G360" s="54"/>
      <c r="H360" s="54"/>
      <c r="I360" s="53"/>
      <c r="J360" s="53"/>
      <c r="K360" s="53"/>
      <c r="L360" s="53"/>
      <c r="M360" s="53"/>
    </row>
    <row r="361" spans="1:13" x14ac:dyDescent="0.15">
      <c r="A361" s="55" t="s">
        <v>127</v>
      </c>
      <c r="B361" s="56">
        <f>B356+B358+B359</f>
        <v>6017.8399999999992</v>
      </c>
      <c r="C361" s="56">
        <f t="shared" ref="C361:M361" si="600">C356+C358+C359</f>
        <v>0</v>
      </c>
      <c r="D361" s="56">
        <f t="shared" si="600"/>
        <v>9014.7379999999994</v>
      </c>
      <c r="E361" s="56">
        <f t="shared" si="600"/>
        <v>9313.73</v>
      </c>
      <c r="F361" s="56">
        <f t="shared" si="600"/>
        <v>7498.3180000000002</v>
      </c>
      <c r="G361" s="56">
        <f t="shared" si="600"/>
        <v>7003.1459999999997</v>
      </c>
      <c r="H361" s="56">
        <f t="shared" si="600"/>
        <v>8508.8719999999994</v>
      </c>
      <c r="I361" s="56">
        <f t="shared" si="600"/>
        <v>7206.8073539666284</v>
      </c>
      <c r="J361" s="56">
        <f t="shared" si="600"/>
        <v>7976.2095895403918</v>
      </c>
      <c r="K361" s="56">
        <f t="shared" si="600"/>
        <v>8902.4098598512592</v>
      </c>
      <c r="L361" s="56">
        <f t="shared" si="600"/>
        <v>10151.699477389964</v>
      </c>
      <c r="M361" s="56">
        <f t="shared" si="600"/>
        <v>11399.090687316006</v>
      </c>
    </row>
    <row r="362" spans="1:13" x14ac:dyDescent="0.15">
      <c r="A362" s="51"/>
      <c r="B362" s="57"/>
      <c r="C362" s="57"/>
      <c r="D362" s="57"/>
      <c r="E362" s="57"/>
      <c r="F362" s="57"/>
      <c r="G362" s="57"/>
      <c r="H362" s="57"/>
      <c r="I362" s="53"/>
      <c r="J362" s="53"/>
      <c r="K362" s="53"/>
      <c r="L362" s="53"/>
      <c r="M362" s="53"/>
    </row>
    <row r="363" spans="1:13" x14ac:dyDescent="0.15">
      <c r="A363" s="58" t="s">
        <v>128</v>
      </c>
      <c r="B363" s="54">
        <f t="shared" ref="B363:M363" si="601">B316*B311</f>
        <v>123713.73911999995</v>
      </c>
      <c r="C363" s="54">
        <f t="shared" si="601"/>
        <v>75974.718530000086</v>
      </c>
      <c r="D363" s="54">
        <f t="shared" si="601"/>
        <v>191323.43999999994</v>
      </c>
      <c r="E363" s="54">
        <f t="shared" si="601"/>
        <v>143127.26575999998</v>
      </c>
      <c r="F363" s="54">
        <f t="shared" si="601"/>
        <v>157933.32345000003</v>
      </c>
      <c r="G363" s="54">
        <f t="shared" si="601"/>
        <v>182062.1828200001</v>
      </c>
      <c r="H363" s="54">
        <f t="shared" si="601"/>
        <v>230333.82064000002</v>
      </c>
      <c r="I363" s="43">
        <f t="shared" si="601"/>
        <v>183699.14103215179</v>
      </c>
      <c r="J363" s="43">
        <f t="shared" si="601"/>
        <v>202821.1753228954</v>
      </c>
      <c r="K363" s="43">
        <f t="shared" si="601"/>
        <v>225467.59175842965</v>
      </c>
      <c r="L363" s="43">
        <f t="shared" si="601"/>
        <v>256868.14498656188</v>
      </c>
      <c r="M363" s="43">
        <f t="shared" si="601"/>
        <v>288392.44082423981</v>
      </c>
    </row>
    <row r="364" spans="1:13" x14ac:dyDescent="0.15">
      <c r="A364" s="58" t="s">
        <v>129</v>
      </c>
      <c r="B364" s="54">
        <f>B363/B320</f>
        <v>235.38442656000001</v>
      </c>
      <c r="C364" s="54">
        <f t="shared" ref="C364:M364" si="602">C363/C320</f>
        <v>144.56180605000003</v>
      </c>
      <c r="D364" s="54">
        <f t="shared" si="602"/>
        <v>368.36745109999993</v>
      </c>
      <c r="E364" s="54">
        <f t="shared" si="602"/>
        <v>281.54376128000001</v>
      </c>
      <c r="F364" s="54">
        <f t="shared" si="602"/>
        <v>312.57121090000004</v>
      </c>
      <c r="G364" s="54">
        <f t="shared" si="602"/>
        <v>360.31884853999998</v>
      </c>
      <c r="H364" s="54">
        <f t="shared" si="602"/>
        <v>455.84718647999995</v>
      </c>
      <c r="I364" s="54">
        <f t="shared" si="602"/>
        <v>308.73805215487698</v>
      </c>
      <c r="J364" s="54">
        <f t="shared" si="602"/>
        <v>340.87592491242924</v>
      </c>
      <c r="K364" s="54">
        <f t="shared" si="602"/>
        <v>378.93712900576412</v>
      </c>
      <c r="L364" s="54">
        <f t="shared" si="602"/>
        <v>431.71116804464179</v>
      </c>
      <c r="M364" s="54">
        <f t="shared" si="602"/>
        <v>484.6931778558652</v>
      </c>
    </row>
    <row r="365" spans="1:13" x14ac:dyDescent="0.15">
      <c r="A365" s="50"/>
      <c r="B365" s="50"/>
      <c r="C365" s="50"/>
      <c r="D365" s="50"/>
      <c r="E365" s="50"/>
      <c r="F365" s="50"/>
      <c r="G365" s="50"/>
      <c r="H365" s="50"/>
    </row>
    <row r="366" spans="1:13" x14ac:dyDescent="0.15">
      <c r="A366" s="59" t="s">
        <v>130</v>
      </c>
      <c r="B366" s="54"/>
      <c r="C366" s="54"/>
      <c r="D366" s="54"/>
      <c r="E366" s="54"/>
      <c r="F366" s="54"/>
      <c r="G366" s="54"/>
      <c r="H366" s="54"/>
    </row>
    <row r="367" spans="1:13" x14ac:dyDescent="0.15">
      <c r="A367" s="60" t="s">
        <v>131</v>
      </c>
      <c r="B367" s="61">
        <v>46266</v>
      </c>
      <c r="C367" s="54"/>
      <c r="D367" s="54"/>
      <c r="E367" s="54"/>
      <c r="F367" s="54"/>
      <c r="G367" s="54"/>
      <c r="H367" s="54"/>
    </row>
    <row r="368" spans="1:13" x14ac:dyDescent="0.15">
      <c r="A368" s="51" t="s">
        <v>132</v>
      </c>
      <c r="B368" s="54">
        <v>204656.5</v>
      </c>
      <c r="C368" s="54"/>
      <c r="D368" s="54"/>
      <c r="E368" s="54"/>
      <c r="F368" s="54"/>
      <c r="G368" s="54"/>
      <c r="H368" s="54"/>
    </row>
    <row r="369" spans="1:8" x14ac:dyDescent="0.15">
      <c r="A369" s="51" t="s">
        <v>133</v>
      </c>
      <c r="B369" s="43">
        <f>M363</f>
        <v>288392.44082423981</v>
      </c>
      <c r="C369" s="62"/>
      <c r="D369" s="62"/>
      <c r="E369" s="62"/>
      <c r="F369" s="62"/>
      <c r="G369" s="62"/>
      <c r="H369" s="62"/>
    </row>
    <row r="370" spans="1:8" x14ac:dyDescent="0.15">
      <c r="A370" s="51" t="s">
        <v>134</v>
      </c>
      <c r="B370" s="43">
        <f>SUM((I361*0.5)+J361+K361+L361+M361)</f>
        <v>42032.813291080936</v>
      </c>
      <c r="C370" s="63"/>
      <c r="D370" s="63"/>
      <c r="E370" s="63"/>
      <c r="F370" s="63"/>
      <c r="G370" s="63"/>
      <c r="H370" s="63"/>
    </row>
    <row r="371" spans="1:8" x14ac:dyDescent="0.15">
      <c r="A371" s="51" t="s">
        <v>135</v>
      </c>
      <c r="B371" s="43">
        <f>B369+B370</f>
        <v>330425.25411532074</v>
      </c>
      <c r="C371" s="63"/>
      <c r="D371" s="63"/>
      <c r="E371" s="63"/>
      <c r="F371" s="63"/>
      <c r="G371" s="63"/>
      <c r="H371" s="63"/>
    </row>
    <row r="372" spans="1:8" ht="24" x14ac:dyDescent="0.15">
      <c r="A372" s="64" t="s">
        <v>136</v>
      </c>
      <c r="B372" s="65">
        <f>B371/B368-1</f>
        <v>0.6145358398844929</v>
      </c>
      <c r="C372" s="50"/>
      <c r="D372" s="50"/>
      <c r="E372" s="50"/>
      <c r="F372" s="50"/>
      <c r="G372" s="50"/>
      <c r="H372" s="50"/>
    </row>
    <row r="373" spans="1:8" x14ac:dyDescent="0.15">
      <c r="A373" s="58" t="s">
        <v>137</v>
      </c>
      <c r="B373" s="65">
        <f>((B371/B368)^(1/4.333333333))-1</f>
        <v>0.11689155042008426</v>
      </c>
      <c r="C373" s="50"/>
      <c r="D373" s="50"/>
      <c r="E373" s="50"/>
      <c r="F373" s="50"/>
      <c r="G373" s="50"/>
      <c r="H373" s="50"/>
    </row>
    <row r="374" spans="1:8" x14ac:dyDescent="0.15">
      <c r="A374" s="50"/>
      <c r="B374" s="54"/>
      <c r="C374" s="54"/>
      <c r="D374" s="54"/>
      <c r="E374" s="54"/>
      <c r="F374" s="54"/>
      <c r="G374" s="54"/>
      <c r="H374" s="54"/>
    </row>
    <row r="375" spans="1:8" x14ac:dyDescent="0.15">
      <c r="A375" s="50"/>
      <c r="B375" s="54"/>
      <c r="C375" s="54"/>
      <c r="D375" s="54"/>
      <c r="E375" s="54"/>
      <c r="F375" s="54"/>
      <c r="G375" s="54"/>
      <c r="H375" s="54"/>
    </row>
    <row r="376" spans="1:8" x14ac:dyDescent="0.15">
      <c r="A376" s="50"/>
      <c r="B376" s="54"/>
      <c r="C376" s="54"/>
      <c r="D376" s="54"/>
      <c r="E376" s="54"/>
      <c r="F376" s="54"/>
      <c r="G376" s="54"/>
      <c r="H376" s="54"/>
    </row>
    <row r="377" spans="1:8" x14ac:dyDescent="0.15">
      <c r="A377" s="50"/>
      <c r="B377" s="54"/>
      <c r="C377" s="54"/>
      <c r="D377" s="54"/>
      <c r="E377" s="54"/>
      <c r="F377" s="54"/>
      <c r="G377" s="54"/>
      <c r="H377" s="54"/>
    </row>
    <row r="378" spans="1:8" x14ac:dyDescent="0.15">
      <c r="A378" s="50"/>
      <c r="B378" s="54"/>
      <c r="C378" s="54"/>
      <c r="D378" s="54"/>
      <c r="E378" s="54"/>
      <c r="F378" s="54"/>
      <c r="G378" s="54"/>
      <c r="H378" s="54"/>
    </row>
    <row r="379" spans="1:8" x14ac:dyDescent="0.15">
      <c r="A379" s="50"/>
      <c r="B379" s="50"/>
      <c r="C379" s="50"/>
      <c r="D379" s="50"/>
      <c r="E379" s="50"/>
      <c r="F379" s="50"/>
      <c r="G379" s="50"/>
      <c r="H379" s="50"/>
    </row>
    <row r="380" spans="1:8" x14ac:dyDescent="0.15">
      <c r="A380" s="66"/>
      <c r="B380" s="67"/>
      <c r="C380" s="67"/>
      <c r="D380" s="67"/>
      <c r="E380" s="67"/>
      <c r="F380" s="67"/>
      <c r="G380" s="67"/>
      <c r="H380" s="67"/>
    </row>
    <row r="382" spans="1:8" x14ac:dyDescent="0.15">
      <c r="A382" s="68"/>
    </row>
  </sheetData>
  <pageMargins left="0.2" right="0.2" top="0.5" bottom="0.5" header="0.5" footer="0.5"/>
  <pageSetup fitToWidth="0" fitToHeight="0" orientation="landscape" horizontalDpi="0" verticalDpi="0"/>
  <headerFooter alignWithMargins="0"/>
  <ignoredErrors>
    <ignoredError sqref="C280:M280 C111:H111 C311:H311 C171:H171 C23:H23 C28:H28 C54:H54 C65:H65 C63:H63 C61:H61" formula="1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Valuation 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dede.eyesan</dc:creator>
  <cp:lastModifiedBy>dede.eyesan</cp:lastModifiedBy>
  <dcterms:created xsi:type="dcterms:W3CDTF">2026-09-04T13:26:00Z</dcterms:created>
  <dcterms:modified xsi:type="dcterms:W3CDTF">2026-09-16T10:05:27Z</dcterms:modified>
</cp:coreProperties>
</file>