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engaip-my.sharepoint.com/personal/dede_eyesan_jengaip_com/Documents/Jenga Investment Partners/Front Office/Global Outperformers/2025 Articles/Latour AB/2026 Financials/"/>
    </mc:Choice>
  </mc:AlternateContent>
  <xr:revisionPtr revIDLastSave="0" documentId="8_{15DC273F-7A16-564D-A415-A6242E3D4857}" xr6:coauthVersionLast="47" xr6:coauthVersionMax="47" xr10:uidLastSave="{00000000-0000-0000-0000-000000000000}"/>
  <bookViews>
    <workbookView xWindow="0" yWindow="0" windowWidth="51200" windowHeight="28800" xr2:uid="{8FE92BA5-5BA7-4542-811F-6719024C6DC4}"/>
  </bookViews>
  <sheets>
    <sheet name="Valuation 2026 Model " sheetId="1" r:id="rId1"/>
  </sheets>
  <definedNames>
    <definedName name="_xlnm.Print_Titles" localSheetId="0">'Valuation 2026 Model '!#REF!</definedName>
  </definedNames>
  <calcPr calcId="18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4" i="1" l="1"/>
  <c r="G274" i="1"/>
  <c r="F274" i="1"/>
  <c r="E274" i="1"/>
  <c r="D274" i="1"/>
  <c r="C274" i="1"/>
  <c r="B274" i="1"/>
  <c r="H271" i="1"/>
  <c r="G271" i="1"/>
  <c r="F271" i="1"/>
  <c r="E271" i="1"/>
  <c r="D271" i="1"/>
  <c r="C271" i="1"/>
  <c r="B271" i="1"/>
  <c r="H268" i="1"/>
  <c r="H260" i="1"/>
  <c r="H275" i="1" s="1"/>
  <c r="G260" i="1"/>
  <c r="G275" i="1" s="1"/>
  <c r="F260" i="1"/>
  <c r="F275" i="1" s="1"/>
  <c r="E260" i="1"/>
  <c r="E275" i="1" s="1"/>
  <c r="D260" i="1"/>
  <c r="D275" i="1" s="1"/>
  <c r="C260" i="1"/>
  <c r="C275" i="1" s="1"/>
  <c r="B260" i="1"/>
  <c r="B275" i="1" s="1"/>
  <c r="I256" i="1"/>
  <c r="J256" i="1" s="1"/>
  <c r="K256" i="1" s="1"/>
  <c r="L256" i="1" s="1"/>
  <c r="M256" i="1" s="1"/>
  <c r="D255" i="1"/>
  <c r="D257" i="1" s="1"/>
  <c r="E253" i="1"/>
  <c r="H252" i="1"/>
  <c r="H253" i="1" s="1"/>
  <c r="G252" i="1"/>
  <c r="G255" i="1" s="1"/>
  <c r="G257" i="1" s="1"/>
  <c r="F252" i="1"/>
  <c r="F255" i="1" s="1"/>
  <c r="F257" i="1" s="1"/>
  <c r="E252" i="1"/>
  <c r="E255" i="1" s="1"/>
  <c r="E257" i="1" s="1"/>
  <c r="D252" i="1"/>
  <c r="C252" i="1"/>
  <c r="C253" i="1" s="1"/>
  <c r="B252" i="1"/>
  <c r="B255" i="1" s="1"/>
  <c r="B257" i="1" s="1"/>
  <c r="G251" i="1"/>
  <c r="F251" i="1"/>
  <c r="E251" i="1"/>
  <c r="D251" i="1"/>
  <c r="C251" i="1"/>
  <c r="H244" i="1"/>
  <c r="O244" i="1" s="1"/>
  <c r="G244" i="1"/>
  <c r="F244" i="1"/>
  <c r="E244" i="1"/>
  <c r="D244" i="1"/>
  <c r="C244" i="1"/>
  <c r="B244" i="1"/>
  <c r="O243" i="1"/>
  <c r="H242" i="1"/>
  <c r="H240" i="1"/>
  <c r="G240" i="1"/>
  <c r="F240" i="1"/>
  <c r="E240" i="1"/>
  <c r="D240" i="1"/>
  <c r="C240" i="1"/>
  <c r="O239" i="1"/>
  <c r="I239" i="1"/>
  <c r="I246" i="1" s="1"/>
  <c r="I238" i="1"/>
  <c r="H238" i="1"/>
  <c r="G238" i="1"/>
  <c r="F238" i="1"/>
  <c r="E238" i="1"/>
  <c r="D238" i="1"/>
  <c r="C238" i="1"/>
  <c r="B238" i="1"/>
  <c r="H237" i="1"/>
  <c r="G237" i="1"/>
  <c r="F237" i="1"/>
  <c r="E237" i="1"/>
  <c r="D237" i="1"/>
  <c r="C237" i="1"/>
  <c r="O236" i="1"/>
  <c r="K236" i="1"/>
  <c r="L236" i="1" s="1"/>
  <c r="J236" i="1"/>
  <c r="I236" i="1"/>
  <c r="H235" i="1"/>
  <c r="G235" i="1"/>
  <c r="F235" i="1"/>
  <c r="E235" i="1"/>
  <c r="D235" i="1"/>
  <c r="C235" i="1"/>
  <c r="O234" i="1"/>
  <c r="I234" i="1"/>
  <c r="J234" i="1" s="1"/>
  <c r="J232" i="1"/>
  <c r="I232" i="1"/>
  <c r="I230" i="1"/>
  <c r="H230" i="1"/>
  <c r="F230" i="1"/>
  <c r="E230" i="1"/>
  <c r="C230" i="1"/>
  <c r="O230" i="1" s="1"/>
  <c r="B230" i="1"/>
  <c r="J229" i="1"/>
  <c r="J230" i="1" s="1"/>
  <c r="I229" i="1"/>
  <c r="G229" i="1"/>
  <c r="G230" i="1" s="1"/>
  <c r="F229" i="1"/>
  <c r="E229" i="1"/>
  <c r="D229" i="1"/>
  <c r="D230" i="1" s="1"/>
  <c r="C229" i="1"/>
  <c r="O229" i="1" s="1"/>
  <c r="B229" i="1"/>
  <c r="H228" i="1"/>
  <c r="H226" i="1"/>
  <c r="G226" i="1"/>
  <c r="F226" i="1"/>
  <c r="E226" i="1"/>
  <c r="D226" i="1"/>
  <c r="C226" i="1"/>
  <c r="O225" i="1"/>
  <c r="J225" i="1"/>
  <c r="K225" i="1" s="1"/>
  <c r="I225" i="1"/>
  <c r="J224" i="1"/>
  <c r="H224" i="1"/>
  <c r="G224" i="1"/>
  <c r="F224" i="1"/>
  <c r="E224" i="1"/>
  <c r="D224" i="1"/>
  <c r="C224" i="1"/>
  <c r="B224" i="1"/>
  <c r="H223" i="1"/>
  <c r="G223" i="1"/>
  <c r="F223" i="1"/>
  <c r="E223" i="1"/>
  <c r="D223" i="1"/>
  <c r="C223" i="1"/>
  <c r="O222" i="1"/>
  <c r="I222" i="1"/>
  <c r="J222" i="1" s="1"/>
  <c r="K222" i="1" s="1"/>
  <c r="H221" i="1"/>
  <c r="G221" i="1"/>
  <c r="F221" i="1"/>
  <c r="E221" i="1"/>
  <c r="D221" i="1"/>
  <c r="C221" i="1"/>
  <c r="O220" i="1"/>
  <c r="J220" i="1"/>
  <c r="K220" i="1" s="1"/>
  <c r="L220" i="1" s="1"/>
  <c r="M220" i="1" s="1"/>
  <c r="I220" i="1"/>
  <c r="J218" i="1"/>
  <c r="I218" i="1"/>
  <c r="I216" i="1"/>
  <c r="H216" i="1"/>
  <c r="G216" i="1"/>
  <c r="F216" i="1"/>
  <c r="E216" i="1"/>
  <c r="D216" i="1"/>
  <c r="C216" i="1"/>
  <c r="O216" i="1" s="1"/>
  <c r="B216" i="1"/>
  <c r="O215" i="1"/>
  <c r="I215" i="1"/>
  <c r="H214" i="1"/>
  <c r="H212" i="1"/>
  <c r="G212" i="1"/>
  <c r="F212" i="1"/>
  <c r="E212" i="1"/>
  <c r="D212" i="1"/>
  <c r="C212" i="1"/>
  <c r="O211" i="1"/>
  <c r="J211" i="1"/>
  <c r="K211" i="1" s="1"/>
  <c r="I211" i="1"/>
  <c r="H210" i="1"/>
  <c r="G210" i="1"/>
  <c r="F210" i="1"/>
  <c r="E210" i="1"/>
  <c r="D210" i="1"/>
  <c r="C210" i="1"/>
  <c r="B210" i="1"/>
  <c r="H209" i="1"/>
  <c r="G209" i="1"/>
  <c r="F209" i="1"/>
  <c r="E209" i="1"/>
  <c r="D209" i="1"/>
  <c r="C209" i="1"/>
  <c r="O208" i="1"/>
  <c r="I208" i="1"/>
  <c r="I210" i="1" s="1"/>
  <c r="H207" i="1"/>
  <c r="G207" i="1"/>
  <c r="F207" i="1"/>
  <c r="E207" i="1"/>
  <c r="D207" i="1"/>
  <c r="C207" i="1"/>
  <c r="O206" i="1"/>
  <c r="J206" i="1"/>
  <c r="K206" i="1" s="1"/>
  <c r="L206" i="1" s="1"/>
  <c r="M206" i="1" s="1"/>
  <c r="I206" i="1"/>
  <c r="H202" i="1"/>
  <c r="G202" i="1"/>
  <c r="F202" i="1"/>
  <c r="E202" i="1"/>
  <c r="D202" i="1"/>
  <c r="C202" i="1"/>
  <c r="O202" i="1" s="1"/>
  <c r="B202" i="1"/>
  <c r="O201" i="1"/>
  <c r="H200" i="1"/>
  <c r="H198" i="1"/>
  <c r="G198" i="1"/>
  <c r="F198" i="1"/>
  <c r="E198" i="1"/>
  <c r="D198" i="1"/>
  <c r="C198" i="1"/>
  <c r="O197" i="1"/>
  <c r="I197" i="1"/>
  <c r="H196" i="1"/>
  <c r="G196" i="1"/>
  <c r="F196" i="1"/>
  <c r="E196" i="1"/>
  <c r="D196" i="1"/>
  <c r="C196" i="1"/>
  <c r="B196" i="1"/>
  <c r="H195" i="1"/>
  <c r="G195" i="1"/>
  <c r="F195" i="1"/>
  <c r="E195" i="1"/>
  <c r="D195" i="1"/>
  <c r="C195" i="1"/>
  <c r="O194" i="1"/>
  <c r="K194" i="1"/>
  <c r="J194" i="1"/>
  <c r="I194" i="1"/>
  <c r="H193" i="1"/>
  <c r="G193" i="1"/>
  <c r="F193" i="1"/>
  <c r="E193" i="1"/>
  <c r="D193" i="1"/>
  <c r="C193" i="1"/>
  <c r="O192" i="1"/>
  <c r="I192" i="1"/>
  <c r="J192" i="1" s="1"/>
  <c r="K192" i="1" s="1"/>
  <c r="L192" i="1" s="1"/>
  <c r="M192" i="1" s="1"/>
  <c r="H188" i="1"/>
  <c r="O188" i="1" s="1"/>
  <c r="G188" i="1"/>
  <c r="F188" i="1"/>
  <c r="E188" i="1"/>
  <c r="D188" i="1"/>
  <c r="C188" i="1"/>
  <c r="B188" i="1"/>
  <c r="O187" i="1"/>
  <c r="H186" i="1"/>
  <c r="H184" i="1"/>
  <c r="G184" i="1"/>
  <c r="F184" i="1"/>
  <c r="E184" i="1"/>
  <c r="D184" i="1"/>
  <c r="C184" i="1"/>
  <c r="O183" i="1"/>
  <c r="I183" i="1"/>
  <c r="H182" i="1"/>
  <c r="G182" i="1"/>
  <c r="F182" i="1"/>
  <c r="E182" i="1"/>
  <c r="D182" i="1"/>
  <c r="C182" i="1"/>
  <c r="B182" i="1"/>
  <c r="H181" i="1"/>
  <c r="G181" i="1"/>
  <c r="F181" i="1"/>
  <c r="E181" i="1"/>
  <c r="D181" i="1"/>
  <c r="C181" i="1"/>
  <c r="O180" i="1"/>
  <c r="K180" i="1"/>
  <c r="L180" i="1" s="1"/>
  <c r="J180" i="1"/>
  <c r="I180" i="1"/>
  <c r="H179" i="1"/>
  <c r="G179" i="1"/>
  <c r="F179" i="1"/>
  <c r="E179" i="1"/>
  <c r="D179" i="1"/>
  <c r="C179" i="1"/>
  <c r="O178" i="1"/>
  <c r="I178" i="1"/>
  <c r="J178" i="1" s="1"/>
  <c r="J182" i="1" s="1"/>
  <c r="I174" i="1"/>
  <c r="H174" i="1"/>
  <c r="G174" i="1"/>
  <c r="F174" i="1"/>
  <c r="E174" i="1"/>
  <c r="D174" i="1"/>
  <c r="C174" i="1"/>
  <c r="O174" i="1" s="1"/>
  <c r="B174" i="1"/>
  <c r="O173" i="1"/>
  <c r="J173" i="1"/>
  <c r="J174" i="1" s="1"/>
  <c r="I173" i="1"/>
  <c r="H172" i="1"/>
  <c r="H170" i="1"/>
  <c r="G170" i="1"/>
  <c r="F170" i="1"/>
  <c r="E170" i="1"/>
  <c r="D170" i="1"/>
  <c r="C170" i="1"/>
  <c r="O169" i="1"/>
  <c r="I169" i="1"/>
  <c r="J169" i="1" s="1"/>
  <c r="J176" i="1" s="1"/>
  <c r="H168" i="1"/>
  <c r="G168" i="1"/>
  <c r="F168" i="1"/>
  <c r="E168" i="1"/>
  <c r="D168" i="1"/>
  <c r="C168" i="1"/>
  <c r="B168" i="1"/>
  <c r="H167" i="1"/>
  <c r="G167" i="1"/>
  <c r="F167" i="1"/>
  <c r="E167" i="1"/>
  <c r="D167" i="1"/>
  <c r="C167" i="1"/>
  <c r="O166" i="1"/>
  <c r="I166" i="1"/>
  <c r="J166" i="1" s="1"/>
  <c r="J168" i="1" s="1"/>
  <c r="H165" i="1"/>
  <c r="G165" i="1"/>
  <c r="F165" i="1"/>
  <c r="E165" i="1"/>
  <c r="D165" i="1"/>
  <c r="C165" i="1"/>
  <c r="O164" i="1"/>
  <c r="L164" i="1"/>
  <c r="M164" i="1" s="1"/>
  <c r="K164" i="1"/>
  <c r="I164" i="1"/>
  <c r="J164" i="1" s="1"/>
  <c r="O160" i="1"/>
  <c r="H160" i="1"/>
  <c r="G160" i="1"/>
  <c r="F160" i="1"/>
  <c r="E160" i="1"/>
  <c r="D160" i="1"/>
  <c r="C160" i="1"/>
  <c r="B160" i="1"/>
  <c r="O159" i="1"/>
  <c r="H158" i="1"/>
  <c r="H156" i="1"/>
  <c r="G156" i="1"/>
  <c r="F156" i="1"/>
  <c r="E156" i="1"/>
  <c r="D156" i="1"/>
  <c r="C156" i="1"/>
  <c r="O155" i="1"/>
  <c r="I155" i="1"/>
  <c r="H154" i="1"/>
  <c r="G154" i="1"/>
  <c r="F154" i="1"/>
  <c r="E154" i="1"/>
  <c r="D154" i="1"/>
  <c r="C154" i="1"/>
  <c r="B154" i="1"/>
  <c r="H153" i="1"/>
  <c r="G153" i="1"/>
  <c r="F153" i="1"/>
  <c r="E153" i="1"/>
  <c r="D153" i="1"/>
  <c r="C153" i="1"/>
  <c r="O152" i="1"/>
  <c r="I152" i="1"/>
  <c r="H151" i="1"/>
  <c r="G151" i="1"/>
  <c r="F151" i="1"/>
  <c r="E151" i="1"/>
  <c r="D151" i="1"/>
  <c r="C151" i="1"/>
  <c r="O150" i="1"/>
  <c r="I150" i="1"/>
  <c r="J150" i="1" s="1"/>
  <c r="K150" i="1" s="1"/>
  <c r="L150" i="1" s="1"/>
  <c r="M150" i="1" s="1"/>
  <c r="Q150" i="1" s="1"/>
  <c r="H146" i="1"/>
  <c r="G146" i="1"/>
  <c r="F146" i="1"/>
  <c r="E146" i="1"/>
  <c r="D146" i="1"/>
  <c r="H144" i="1"/>
  <c r="H142" i="1"/>
  <c r="G142" i="1"/>
  <c r="F142" i="1"/>
  <c r="E142" i="1"/>
  <c r="D142" i="1"/>
  <c r="C142" i="1"/>
  <c r="O141" i="1"/>
  <c r="I141" i="1"/>
  <c r="H140" i="1"/>
  <c r="G140" i="1"/>
  <c r="F140" i="1"/>
  <c r="E140" i="1"/>
  <c r="D140" i="1"/>
  <c r="C140" i="1"/>
  <c r="B140" i="1"/>
  <c r="H139" i="1"/>
  <c r="G139" i="1"/>
  <c r="F139" i="1"/>
  <c r="E139" i="1"/>
  <c r="D139" i="1"/>
  <c r="C139" i="1"/>
  <c r="O138" i="1"/>
  <c r="J138" i="1"/>
  <c r="I138" i="1"/>
  <c r="H137" i="1"/>
  <c r="G137" i="1"/>
  <c r="F137" i="1"/>
  <c r="E137" i="1"/>
  <c r="D137" i="1"/>
  <c r="C137" i="1"/>
  <c r="O136" i="1"/>
  <c r="I136" i="1"/>
  <c r="J136" i="1" s="1"/>
  <c r="K136" i="1" s="1"/>
  <c r="L136" i="1" s="1"/>
  <c r="M136" i="1" s="1"/>
  <c r="O132" i="1"/>
  <c r="H132" i="1"/>
  <c r="G132" i="1"/>
  <c r="F132" i="1"/>
  <c r="E132" i="1"/>
  <c r="D132" i="1"/>
  <c r="C132" i="1"/>
  <c r="B132" i="1"/>
  <c r="O131" i="1"/>
  <c r="H130" i="1"/>
  <c r="H128" i="1"/>
  <c r="G128" i="1"/>
  <c r="F128" i="1"/>
  <c r="E128" i="1"/>
  <c r="D128" i="1"/>
  <c r="C128" i="1"/>
  <c r="O127" i="1"/>
  <c r="J127" i="1"/>
  <c r="I127" i="1"/>
  <c r="H126" i="1"/>
  <c r="G126" i="1"/>
  <c r="F126" i="1"/>
  <c r="E126" i="1"/>
  <c r="D126" i="1"/>
  <c r="C126" i="1"/>
  <c r="B126" i="1"/>
  <c r="H125" i="1"/>
  <c r="G125" i="1"/>
  <c r="F125" i="1"/>
  <c r="E125" i="1"/>
  <c r="D125" i="1"/>
  <c r="C125" i="1"/>
  <c r="O124" i="1"/>
  <c r="J124" i="1"/>
  <c r="I124" i="1"/>
  <c r="H123" i="1"/>
  <c r="G123" i="1"/>
  <c r="F123" i="1"/>
  <c r="E123" i="1"/>
  <c r="D123" i="1"/>
  <c r="C123" i="1"/>
  <c r="O122" i="1"/>
  <c r="I122" i="1"/>
  <c r="I126" i="1" s="1"/>
  <c r="I120" i="1"/>
  <c r="I118" i="1"/>
  <c r="H118" i="1"/>
  <c r="G118" i="1"/>
  <c r="F118" i="1"/>
  <c r="E118" i="1"/>
  <c r="D118" i="1"/>
  <c r="C118" i="1"/>
  <c r="B118" i="1"/>
  <c r="O117" i="1"/>
  <c r="I117" i="1"/>
  <c r="H116" i="1"/>
  <c r="H114" i="1"/>
  <c r="G114" i="1"/>
  <c r="F114" i="1"/>
  <c r="E114" i="1"/>
  <c r="D114" i="1"/>
  <c r="C114" i="1"/>
  <c r="O113" i="1"/>
  <c r="I113" i="1"/>
  <c r="H112" i="1"/>
  <c r="G112" i="1"/>
  <c r="F112" i="1"/>
  <c r="E112" i="1"/>
  <c r="D112" i="1"/>
  <c r="C112" i="1"/>
  <c r="B112" i="1"/>
  <c r="H111" i="1"/>
  <c r="G111" i="1"/>
  <c r="F111" i="1"/>
  <c r="E111" i="1"/>
  <c r="D111" i="1"/>
  <c r="C111" i="1"/>
  <c r="O110" i="1"/>
  <c r="I110" i="1"/>
  <c r="J110" i="1" s="1"/>
  <c r="K110" i="1" s="1"/>
  <c r="L110" i="1" s="1"/>
  <c r="M110" i="1" s="1"/>
  <c r="H109" i="1"/>
  <c r="G109" i="1"/>
  <c r="F109" i="1"/>
  <c r="E109" i="1"/>
  <c r="D109" i="1"/>
  <c r="C109" i="1"/>
  <c r="O108" i="1"/>
  <c r="I108" i="1"/>
  <c r="O106" i="1"/>
  <c r="D104" i="1"/>
  <c r="D103" i="1"/>
  <c r="C103" i="1"/>
  <c r="H102" i="1"/>
  <c r="G102" i="1"/>
  <c r="G103" i="1" s="1"/>
  <c r="F102" i="1"/>
  <c r="F103" i="1" s="1"/>
  <c r="E102" i="1"/>
  <c r="D102" i="1"/>
  <c r="E103" i="1" s="1"/>
  <c r="C102" i="1"/>
  <c r="B102" i="1"/>
  <c r="G100" i="1"/>
  <c r="O99" i="1"/>
  <c r="H99" i="1"/>
  <c r="H265" i="1" s="1"/>
  <c r="G99" i="1"/>
  <c r="F99" i="1"/>
  <c r="F104" i="1" s="1"/>
  <c r="E99" i="1"/>
  <c r="D99" i="1"/>
  <c r="D265" i="1" s="1"/>
  <c r="B99" i="1"/>
  <c r="H97" i="1"/>
  <c r="O96" i="1"/>
  <c r="H96" i="1"/>
  <c r="G96" i="1"/>
  <c r="F96" i="1"/>
  <c r="F97" i="1" s="1"/>
  <c r="E96" i="1"/>
  <c r="D96" i="1"/>
  <c r="D97" i="1" s="1"/>
  <c r="C96" i="1"/>
  <c r="C97" i="1" s="1"/>
  <c r="B96" i="1"/>
  <c r="H94" i="1"/>
  <c r="G94" i="1"/>
  <c r="F94" i="1"/>
  <c r="E94" i="1"/>
  <c r="D94" i="1"/>
  <c r="C94" i="1"/>
  <c r="C99" i="1" s="1"/>
  <c r="B94" i="1"/>
  <c r="E91" i="1"/>
  <c r="D91" i="1"/>
  <c r="C91" i="1"/>
  <c r="B91" i="1"/>
  <c r="E90" i="1"/>
  <c r="D90" i="1"/>
  <c r="C90" i="1"/>
  <c r="E89" i="1"/>
  <c r="D89" i="1"/>
  <c r="E86" i="1"/>
  <c r="D86" i="1"/>
  <c r="C86" i="1"/>
  <c r="B86" i="1"/>
  <c r="E85" i="1"/>
  <c r="D85" i="1"/>
  <c r="C85" i="1"/>
  <c r="E83" i="1"/>
  <c r="D83" i="1"/>
  <c r="C83" i="1"/>
  <c r="M80" i="1"/>
  <c r="L80" i="1"/>
  <c r="K80" i="1"/>
  <c r="J80" i="1"/>
  <c r="I80" i="1"/>
  <c r="H80" i="1"/>
  <c r="G80" i="1"/>
  <c r="F80" i="1"/>
  <c r="E80" i="1"/>
  <c r="D80" i="1"/>
  <c r="C80" i="1"/>
  <c r="O77" i="1"/>
  <c r="H77" i="1"/>
  <c r="G77" i="1"/>
  <c r="F77" i="1"/>
  <c r="E77" i="1"/>
  <c r="D77" i="1"/>
  <c r="C77" i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K74" i="1"/>
  <c r="L74" i="1" s="1"/>
  <c r="M74" i="1" s="1"/>
  <c r="I74" i="1"/>
  <c r="J74" i="1" s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O70" i="1"/>
  <c r="I70" i="1"/>
  <c r="H69" i="1"/>
  <c r="G69" i="1"/>
  <c r="F69" i="1"/>
  <c r="E69" i="1"/>
  <c r="D69" i="1"/>
  <c r="C69" i="1"/>
  <c r="O68" i="1"/>
  <c r="K68" i="1"/>
  <c r="L68" i="1" s="1"/>
  <c r="M68" i="1" s="1"/>
  <c r="I68" i="1"/>
  <c r="J68" i="1" s="1"/>
  <c r="H66" i="1"/>
  <c r="G66" i="1"/>
  <c r="F66" i="1"/>
  <c r="E66" i="1"/>
  <c r="D66" i="1"/>
  <c r="C66" i="1"/>
  <c r="O66" i="1" s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I63" i="1"/>
  <c r="J63" i="1" s="1"/>
  <c r="K63" i="1" s="1"/>
  <c r="L63" i="1" s="1"/>
  <c r="M63" i="1" s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O59" i="1"/>
  <c r="I59" i="1"/>
  <c r="J59" i="1" s="1"/>
  <c r="J66" i="1" s="1"/>
  <c r="H58" i="1"/>
  <c r="G58" i="1"/>
  <c r="F58" i="1"/>
  <c r="E58" i="1"/>
  <c r="D58" i="1"/>
  <c r="C58" i="1"/>
  <c r="O57" i="1"/>
  <c r="I57" i="1"/>
  <c r="J57" i="1" s="1"/>
  <c r="K57" i="1" s="1"/>
  <c r="L57" i="1" s="1"/>
  <c r="M57" i="1" s="1"/>
  <c r="I55" i="1"/>
  <c r="H55" i="1"/>
  <c r="G55" i="1"/>
  <c r="F55" i="1"/>
  <c r="I54" i="1"/>
  <c r="H54" i="1"/>
  <c r="G54" i="1"/>
  <c r="F54" i="1"/>
  <c r="H53" i="1"/>
  <c r="G53" i="1"/>
  <c r="J52" i="1"/>
  <c r="K52" i="1" s="1"/>
  <c r="L52" i="1" s="1"/>
  <c r="M52" i="1" s="1"/>
  <c r="I52" i="1"/>
  <c r="I50" i="1"/>
  <c r="H50" i="1"/>
  <c r="G50" i="1"/>
  <c r="F50" i="1"/>
  <c r="H49" i="1"/>
  <c r="G49" i="1"/>
  <c r="I48" i="1"/>
  <c r="J48" i="1" s="1"/>
  <c r="J54" i="1" s="1"/>
  <c r="H47" i="1"/>
  <c r="G47" i="1"/>
  <c r="L46" i="1"/>
  <c r="M46" i="1" s="1"/>
  <c r="P46" i="1" s="1"/>
  <c r="I46" i="1"/>
  <c r="J46" i="1" s="1"/>
  <c r="K46" i="1" s="1"/>
  <c r="H44" i="1"/>
  <c r="G44" i="1"/>
  <c r="F44" i="1"/>
  <c r="H43" i="1"/>
  <c r="G43" i="1"/>
  <c r="F43" i="1"/>
  <c r="H42" i="1"/>
  <c r="G42" i="1"/>
  <c r="M41" i="1"/>
  <c r="I41" i="1"/>
  <c r="J41" i="1" s="1"/>
  <c r="K41" i="1" s="1"/>
  <c r="L41" i="1" s="1"/>
  <c r="H39" i="1"/>
  <c r="G39" i="1"/>
  <c r="F39" i="1"/>
  <c r="H38" i="1"/>
  <c r="G38" i="1"/>
  <c r="J37" i="1"/>
  <c r="I37" i="1"/>
  <c r="H36" i="1"/>
  <c r="G36" i="1"/>
  <c r="I35" i="1"/>
  <c r="J35" i="1" s="1"/>
  <c r="K35" i="1" s="1"/>
  <c r="L35" i="1" s="1"/>
  <c r="M35" i="1" s="1"/>
  <c r="H33" i="1"/>
  <c r="O33" i="1" s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I30" i="1"/>
  <c r="J30" i="1" s="1"/>
  <c r="K30" i="1" s="1"/>
  <c r="L30" i="1" s="1"/>
  <c r="M30" i="1" s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O26" i="1"/>
  <c r="I26" i="1"/>
  <c r="J26" i="1" s="1"/>
  <c r="H25" i="1"/>
  <c r="G25" i="1"/>
  <c r="F25" i="1"/>
  <c r="E25" i="1"/>
  <c r="D25" i="1"/>
  <c r="C25" i="1"/>
  <c r="O24" i="1"/>
  <c r="I24" i="1"/>
  <c r="J24" i="1" s="1"/>
  <c r="K24" i="1" s="1"/>
  <c r="L24" i="1" s="1"/>
  <c r="M24" i="1" s="1"/>
  <c r="I22" i="1"/>
  <c r="H22" i="1"/>
  <c r="O22" i="1" s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H20" i="1"/>
  <c r="G20" i="1"/>
  <c r="F20" i="1"/>
  <c r="E20" i="1"/>
  <c r="D20" i="1"/>
  <c r="L19" i="1"/>
  <c r="M19" i="1" s="1"/>
  <c r="J19" i="1"/>
  <c r="K19" i="1" s="1"/>
  <c r="I19" i="1"/>
  <c r="I17" i="1"/>
  <c r="H17" i="1"/>
  <c r="G17" i="1"/>
  <c r="F17" i="1"/>
  <c r="E17" i="1"/>
  <c r="D17" i="1"/>
  <c r="C17" i="1"/>
  <c r="B17" i="1"/>
  <c r="H16" i="1"/>
  <c r="G16" i="1"/>
  <c r="F16" i="1"/>
  <c r="E16" i="1"/>
  <c r="D16" i="1"/>
  <c r="O15" i="1"/>
  <c r="K15" i="1"/>
  <c r="I15" i="1"/>
  <c r="J15" i="1" s="1"/>
  <c r="H14" i="1"/>
  <c r="G14" i="1"/>
  <c r="F14" i="1"/>
  <c r="E14" i="1"/>
  <c r="D14" i="1"/>
  <c r="O13" i="1"/>
  <c r="J13" i="1"/>
  <c r="I13" i="1"/>
  <c r="J11" i="1"/>
  <c r="I11" i="1"/>
  <c r="H11" i="1"/>
  <c r="O11" i="1" s="1"/>
  <c r="G11" i="1"/>
  <c r="F11" i="1"/>
  <c r="E11" i="1"/>
  <c r="D11" i="1"/>
  <c r="C11" i="1"/>
  <c r="H10" i="1"/>
  <c r="G10" i="1"/>
  <c r="F10" i="1"/>
  <c r="E10" i="1"/>
  <c r="D10" i="1"/>
  <c r="C10" i="1"/>
  <c r="H9" i="1"/>
  <c r="G9" i="1"/>
  <c r="F9" i="1"/>
  <c r="E9" i="1"/>
  <c r="D9" i="1"/>
  <c r="I8" i="1"/>
  <c r="H6" i="1"/>
  <c r="G6" i="1"/>
  <c r="F6" i="1"/>
  <c r="E6" i="1"/>
  <c r="D6" i="1"/>
  <c r="C6" i="1"/>
  <c r="H5" i="1"/>
  <c r="G5" i="1"/>
  <c r="F5" i="1"/>
  <c r="E5" i="1"/>
  <c r="D5" i="1"/>
  <c r="O4" i="1"/>
  <c r="I4" i="1"/>
  <c r="J4" i="1" s="1"/>
  <c r="H3" i="1"/>
  <c r="G3" i="1"/>
  <c r="F3" i="1"/>
  <c r="E3" i="1"/>
  <c r="D3" i="1"/>
  <c r="O2" i="1"/>
  <c r="K2" i="1"/>
  <c r="J2" i="1"/>
  <c r="I2" i="1"/>
  <c r="Q110" i="1" l="1"/>
  <c r="P110" i="1"/>
  <c r="P35" i="1"/>
  <c r="Q35" i="1"/>
  <c r="Q68" i="1"/>
  <c r="P68" i="1"/>
  <c r="Q57" i="1"/>
  <c r="P57" i="1"/>
  <c r="Q24" i="1"/>
  <c r="P24" i="1"/>
  <c r="Q220" i="1"/>
  <c r="P220" i="1"/>
  <c r="L2" i="1"/>
  <c r="J32" i="1"/>
  <c r="J33" i="1"/>
  <c r="J28" i="1"/>
  <c r="K26" i="1"/>
  <c r="J17" i="1"/>
  <c r="J96" i="1"/>
  <c r="J97" i="1" s="1"/>
  <c r="K13" i="1"/>
  <c r="L13" i="1" s="1"/>
  <c r="M13" i="1" s="1"/>
  <c r="P136" i="1"/>
  <c r="Q136" i="1"/>
  <c r="J44" i="1"/>
  <c r="J43" i="1"/>
  <c r="K37" i="1"/>
  <c r="J134" i="1"/>
  <c r="K127" i="1"/>
  <c r="Q164" i="1"/>
  <c r="P164" i="1"/>
  <c r="J6" i="1"/>
  <c r="K48" i="1"/>
  <c r="I65" i="1"/>
  <c r="B265" i="1"/>
  <c r="B104" i="1"/>
  <c r="J131" i="1"/>
  <c r="J132" i="1" s="1"/>
  <c r="K166" i="1"/>
  <c r="K4" i="1"/>
  <c r="J22" i="1"/>
  <c r="J21" i="1"/>
  <c r="J65" i="1"/>
  <c r="I77" i="1"/>
  <c r="J70" i="1"/>
  <c r="I72" i="1"/>
  <c r="M236" i="1"/>
  <c r="I28" i="1"/>
  <c r="I32" i="1"/>
  <c r="K22" i="1"/>
  <c r="L15" i="1"/>
  <c r="J50" i="1"/>
  <c r="E100" i="1"/>
  <c r="E265" i="1"/>
  <c r="E104" i="1"/>
  <c r="Q206" i="1"/>
  <c r="P206" i="1"/>
  <c r="K178" i="1"/>
  <c r="L178" i="1" s="1"/>
  <c r="M178" i="1" s="1"/>
  <c r="I33" i="1"/>
  <c r="Q46" i="1"/>
  <c r="K59" i="1"/>
  <c r="E97" i="1"/>
  <c r="G104" i="1"/>
  <c r="G265" i="1"/>
  <c r="H100" i="1"/>
  <c r="H103" i="1"/>
  <c r="H104" i="1"/>
  <c r="K124" i="1"/>
  <c r="P150" i="1"/>
  <c r="I159" i="1"/>
  <c r="I160" i="1" s="1"/>
  <c r="I162" i="1"/>
  <c r="J155" i="1"/>
  <c r="J140" i="1"/>
  <c r="K138" i="1"/>
  <c r="C265" i="1"/>
  <c r="C104" i="1"/>
  <c r="C100" i="1"/>
  <c r="I154" i="1"/>
  <c r="J152" i="1"/>
  <c r="P192" i="1"/>
  <c r="Q192" i="1"/>
  <c r="J55" i="1"/>
  <c r="I61" i="1"/>
  <c r="I182" i="1"/>
  <c r="I204" i="1"/>
  <c r="I201" i="1"/>
  <c r="I202" i="1" s="1"/>
  <c r="K224" i="1"/>
  <c r="L222" i="1"/>
  <c r="E261" i="1"/>
  <c r="E258" i="1"/>
  <c r="F265" i="1"/>
  <c r="F100" i="1"/>
  <c r="J108" i="1"/>
  <c r="I112" i="1"/>
  <c r="I148" i="1"/>
  <c r="I267" i="1" s="1"/>
  <c r="I145" i="1"/>
  <c r="I146" i="1" s="1"/>
  <c r="I250" i="1" s="1"/>
  <c r="J141" i="1"/>
  <c r="I96" i="1"/>
  <c r="I97" i="1" s="1"/>
  <c r="K21" i="1"/>
  <c r="I39" i="1"/>
  <c r="I44" i="1"/>
  <c r="I106" i="1" s="1"/>
  <c r="I252" i="1" s="1"/>
  <c r="I253" i="1" s="1"/>
  <c r="I43" i="1"/>
  <c r="J39" i="1"/>
  <c r="J61" i="1"/>
  <c r="I76" i="1"/>
  <c r="I134" i="1"/>
  <c r="I131" i="1"/>
  <c r="I132" i="1" s="1"/>
  <c r="J197" i="1"/>
  <c r="K196" i="1"/>
  <c r="B272" i="1"/>
  <c r="B258" i="1"/>
  <c r="B261" i="1"/>
  <c r="D258" i="1"/>
  <c r="D261" i="1"/>
  <c r="I6" i="1"/>
  <c r="H250" i="1"/>
  <c r="I168" i="1"/>
  <c r="M180" i="1"/>
  <c r="L194" i="1"/>
  <c r="K229" i="1"/>
  <c r="K230" i="1" s="1"/>
  <c r="K232" i="1"/>
  <c r="L225" i="1"/>
  <c r="F261" i="1"/>
  <c r="F258" i="1"/>
  <c r="D272" i="1"/>
  <c r="G97" i="1"/>
  <c r="K215" i="1"/>
  <c r="K216" i="1" s="1"/>
  <c r="K218" i="1"/>
  <c r="L211" i="1"/>
  <c r="G261" i="1"/>
  <c r="G272" i="1"/>
  <c r="G258" i="1"/>
  <c r="E272" i="1"/>
  <c r="I102" i="1"/>
  <c r="I10" i="1"/>
  <c r="I66" i="1"/>
  <c r="I99" i="1"/>
  <c r="D100" i="1"/>
  <c r="J113" i="1"/>
  <c r="O118" i="1"/>
  <c r="J122" i="1"/>
  <c r="K122" i="1" s="1"/>
  <c r="L122" i="1" s="1"/>
  <c r="M122" i="1" s="1"/>
  <c r="K169" i="1"/>
  <c r="I176" i="1"/>
  <c r="I187" i="1"/>
  <c r="I188" i="1" s="1"/>
  <c r="I190" i="1"/>
  <c r="J183" i="1"/>
  <c r="I196" i="1"/>
  <c r="F272" i="1"/>
  <c r="K182" i="1"/>
  <c r="J8" i="1"/>
  <c r="J10" i="1" s="1"/>
  <c r="I140" i="1"/>
  <c r="J196" i="1"/>
  <c r="J208" i="1"/>
  <c r="J238" i="1"/>
  <c r="K234" i="1"/>
  <c r="I243" i="1"/>
  <c r="I244" i="1" s="1"/>
  <c r="D253" i="1"/>
  <c r="J239" i="1"/>
  <c r="F253" i="1"/>
  <c r="I224" i="1"/>
  <c r="G253" i="1"/>
  <c r="C255" i="1"/>
  <c r="C257" i="1" s="1"/>
  <c r="O252" i="1"/>
  <c r="J215" i="1"/>
  <c r="J216" i="1" s="1"/>
  <c r="I251" i="1" l="1"/>
  <c r="I255" i="1"/>
  <c r="I257" i="1" s="1"/>
  <c r="I268" i="1"/>
  <c r="I271" i="1"/>
  <c r="L224" i="1"/>
  <c r="M222" i="1"/>
  <c r="P13" i="1"/>
  <c r="Q13" i="1"/>
  <c r="K134" i="1"/>
  <c r="L127" i="1"/>
  <c r="K131" i="1"/>
  <c r="K132" i="1" s="1"/>
  <c r="Q180" i="1"/>
  <c r="M182" i="1"/>
  <c r="P180" i="1"/>
  <c r="K238" i="1"/>
  <c r="L234" i="1"/>
  <c r="J187" i="1"/>
  <c r="J188" i="1" s="1"/>
  <c r="J190" i="1"/>
  <c r="K183" i="1"/>
  <c r="K208" i="1"/>
  <c r="J210" i="1"/>
  <c r="J201" i="1"/>
  <c r="J202" i="1" s="1"/>
  <c r="K197" i="1"/>
  <c r="J204" i="1"/>
  <c r="K61" i="1"/>
  <c r="L59" i="1"/>
  <c r="K65" i="1"/>
  <c r="K66" i="1"/>
  <c r="L26" i="1"/>
  <c r="K28" i="1"/>
  <c r="K33" i="1"/>
  <c r="K32" i="1"/>
  <c r="I265" i="1"/>
  <c r="I266" i="1" s="1"/>
  <c r="I104" i="1"/>
  <c r="I100" i="1"/>
  <c r="L124" i="1"/>
  <c r="K126" i="1"/>
  <c r="K99" i="1"/>
  <c r="L4" i="1"/>
  <c r="K11" i="1"/>
  <c r="K6" i="1"/>
  <c r="P122" i="1"/>
  <c r="Q122" i="1"/>
  <c r="P178" i="1"/>
  <c r="Q178" i="1"/>
  <c r="J154" i="1"/>
  <c r="K152" i="1"/>
  <c r="C258" i="1"/>
  <c r="C261" i="1"/>
  <c r="K113" i="1"/>
  <c r="J117" i="1"/>
  <c r="J118" i="1" s="1"/>
  <c r="J120" i="1"/>
  <c r="L182" i="1"/>
  <c r="L48" i="1"/>
  <c r="K55" i="1"/>
  <c r="K54" i="1"/>
  <c r="K50" i="1"/>
  <c r="L215" i="1"/>
  <c r="L216" i="1" s="1"/>
  <c r="L218" i="1"/>
  <c r="M211" i="1"/>
  <c r="K140" i="1"/>
  <c r="L138" i="1"/>
  <c r="L166" i="1"/>
  <c r="K168" i="1"/>
  <c r="J126" i="1"/>
  <c r="M2" i="1"/>
  <c r="L96" i="1"/>
  <c r="L97" i="1" s="1"/>
  <c r="J159" i="1"/>
  <c r="J160" i="1" s="1"/>
  <c r="J162" i="1"/>
  <c r="K155" i="1"/>
  <c r="K96" i="1"/>
  <c r="K97" i="1" s="1"/>
  <c r="H251" i="1"/>
  <c r="O250" i="1"/>
  <c r="H255" i="1"/>
  <c r="K108" i="1"/>
  <c r="J112" i="1"/>
  <c r="C272" i="1"/>
  <c r="L232" i="1"/>
  <c r="L229" i="1"/>
  <c r="L230" i="1" s="1"/>
  <c r="M225" i="1"/>
  <c r="Q236" i="1"/>
  <c r="P236" i="1"/>
  <c r="L37" i="1"/>
  <c r="K39" i="1"/>
  <c r="K44" i="1"/>
  <c r="K43" i="1"/>
  <c r="K239" i="1"/>
  <c r="J243" i="1"/>
  <c r="J244" i="1" s="1"/>
  <c r="J246" i="1"/>
  <c r="J102" i="1"/>
  <c r="K8" i="1"/>
  <c r="K173" i="1"/>
  <c r="K174" i="1" s="1"/>
  <c r="L169" i="1"/>
  <c r="K176" i="1"/>
  <c r="L196" i="1"/>
  <c r="M194" i="1"/>
  <c r="J148" i="1"/>
  <c r="J145" i="1"/>
  <c r="J146" i="1" s="1"/>
  <c r="K141" i="1"/>
  <c r="K17" i="1"/>
  <c r="L22" i="1"/>
  <c r="L17" i="1"/>
  <c r="M15" i="1"/>
  <c r="L21" i="1"/>
  <c r="K70" i="1"/>
  <c r="J76" i="1"/>
  <c r="J72" i="1"/>
  <c r="J77" i="1"/>
  <c r="J106" i="1" s="1"/>
  <c r="J252" i="1" s="1"/>
  <c r="J253" i="1" s="1"/>
  <c r="J99" i="1"/>
  <c r="J265" i="1" l="1"/>
  <c r="J266" i="1" s="1"/>
  <c r="J104" i="1"/>
  <c r="J100" i="1"/>
  <c r="L176" i="1"/>
  <c r="M169" i="1"/>
  <c r="L173" i="1"/>
  <c r="L174" i="1" s="1"/>
  <c r="K162" i="1"/>
  <c r="L155" i="1"/>
  <c r="K159" i="1"/>
  <c r="K160" i="1" s="1"/>
  <c r="L140" i="1"/>
  <c r="M138" i="1"/>
  <c r="L50" i="1"/>
  <c r="M48" i="1"/>
  <c r="L54" i="1"/>
  <c r="L55" i="1"/>
  <c r="K154" i="1"/>
  <c r="L152" i="1"/>
  <c r="M234" i="1"/>
  <c r="L238" i="1"/>
  <c r="L10" i="1"/>
  <c r="M4" i="1"/>
  <c r="L11" i="1"/>
  <c r="L6" i="1"/>
  <c r="L197" i="1"/>
  <c r="K204" i="1"/>
  <c r="K201" i="1"/>
  <c r="K202" i="1" s="1"/>
  <c r="L141" i="1"/>
  <c r="K145" i="1"/>
  <c r="K146" i="1" s="1"/>
  <c r="K148" i="1"/>
  <c r="M37" i="1"/>
  <c r="L44" i="1"/>
  <c r="L43" i="1"/>
  <c r="L39" i="1"/>
  <c r="J267" i="1"/>
  <c r="L108" i="1"/>
  <c r="K112" i="1"/>
  <c r="J250" i="1"/>
  <c r="M96" i="1"/>
  <c r="P2" i="1"/>
  <c r="Q2" i="1"/>
  <c r="I272" i="1"/>
  <c r="K190" i="1"/>
  <c r="K187" i="1"/>
  <c r="K188" i="1" s="1"/>
  <c r="L183" i="1"/>
  <c r="M17" i="1"/>
  <c r="Q15" i="1"/>
  <c r="P15" i="1"/>
  <c r="M22" i="1"/>
  <c r="M21" i="1"/>
  <c r="L239" i="1"/>
  <c r="K243" i="1"/>
  <c r="K244" i="1" s="1"/>
  <c r="K246" i="1"/>
  <c r="Q225" i="1"/>
  <c r="P225" i="1"/>
  <c r="M229" i="1"/>
  <c r="M232" i="1"/>
  <c r="L61" i="1"/>
  <c r="L65" i="1"/>
  <c r="L66" i="1"/>
  <c r="M59" i="1"/>
  <c r="M127" i="1"/>
  <c r="L134" i="1"/>
  <c r="L131" i="1"/>
  <c r="L132" i="1" s="1"/>
  <c r="I258" i="1"/>
  <c r="I259" i="1"/>
  <c r="K102" i="1"/>
  <c r="K104" i="1" s="1"/>
  <c r="L8" i="1"/>
  <c r="M218" i="1"/>
  <c r="M215" i="1"/>
  <c r="Q211" i="1"/>
  <c r="P211" i="1"/>
  <c r="K265" i="1"/>
  <c r="K100" i="1"/>
  <c r="M224" i="1"/>
  <c r="Q222" i="1"/>
  <c r="P222" i="1"/>
  <c r="M26" i="1"/>
  <c r="L33" i="1"/>
  <c r="L32" i="1"/>
  <c r="L28" i="1"/>
  <c r="L70" i="1"/>
  <c r="L99" i="1" s="1"/>
  <c r="K77" i="1"/>
  <c r="K106" i="1" s="1"/>
  <c r="K252" i="1" s="1"/>
  <c r="K253" i="1" s="1"/>
  <c r="K72" i="1"/>
  <c r="K76" i="1"/>
  <c r="O255" i="1"/>
  <c r="H257" i="1"/>
  <c r="K117" i="1"/>
  <c r="K118" i="1" s="1"/>
  <c r="K266" i="1"/>
  <c r="K120" i="1"/>
  <c r="K267" i="1" s="1"/>
  <c r="L113" i="1"/>
  <c r="L126" i="1"/>
  <c r="M124" i="1"/>
  <c r="L208" i="1"/>
  <c r="K210" i="1"/>
  <c r="Q194" i="1"/>
  <c r="P194" i="1"/>
  <c r="M196" i="1"/>
  <c r="M166" i="1"/>
  <c r="L168" i="1"/>
  <c r="K10" i="1"/>
  <c r="L265" i="1" l="1"/>
  <c r="L100" i="1"/>
  <c r="Q124" i="1"/>
  <c r="P124" i="1"/>
  <c r="M126" i="1"/>
  <c r="M216" i="1"/>
  <c r="P215" i="1"/>
  <c r="Q215" i="1"/>
  <c r="P127" i="1"/>
  <c r="M131" i="1"/>
  <c r="M134" i="1"/>
  <c r="Q127" i="1"/>
  <c r="M97" i="1"/>
  <c r="Q96" i="1"/>
  <c r="P96" i="1"/>
  <c r="Q37" i="1"/>
  <c r="M44" i="1"/>
  <c r="M43" i="1"/>
  <c r="M39" i="1"/>
  <c r="P37" i="1"/>
  <c r="L106" i="1"/>
  <c r="L252" i="1" s="1"/>
  <c r="L253" i="1" s="1"/>
  <c r="M155" i="1"/>
  <c r="L162" i="1"/>
  <c r="L159" i="1"/>
  <c r="L160" i="1" s="1"/>
  <c r="M61" i="1"/>
  <c r="M65" i="1"/>
  <c r="Q59" i="1"/>
  <c r="M66" i="1"/>
  <c r="P59" i="1"/>
  <c r="L190" i="1"/>
  <c r="M183" i="1"/>
  <c r="L187" i="1"/>
  <c r="L188" i="1" s="1"/>
  <c r="J251" i="1"/>
  <c r="J255" i="1"/>
  <c r="J257" i="1" s="1"/>
  <c r="M6" i="1"/>
  <c r="M11" i="1"/>
  <c r="Q4" i="1"/>
  <c r="P4" i="1"/>
  <c r="P166" i="1"/>
  <c r="M168" i="1"/>
  <c r="Q166" i="1"/>
  <c r="L266" i="1"/>
  <c r="L120" i="1"/>
  <c r="L117" i="1"/>
  <c r="L118" i="1" s="1"/>
  <c r="M113" i="1"/>
  <c r="L102" i="1"/>
  <c r="L104" i="1" s="1"/>
  <c r="M8" i="1"/>
  <c r="M102" i="1" s="1"/>
  <c r="M54" i="1"/>
  <c r="M50" i="1"/>
  <c r="M55" i="1"/>
  <c r="Q48" i="1"/>
  <c r="P48" i="1"/>
  <c r="M197" i="1"/>
  <c r="L201" i="1"/>
  <c r="L202" i="1" s="1"/>
  <c r="L204" i="1"/>
  <c r="K268" i="1"/>
  <c r="K271" i="1"/>
  <c r="L77" i="1"/>
  <c r="L72" i="1"/>
  <c r="M70" i="1"/>
  <c r="M99" i="1" s="1"/>
  <c r="L76" i="1"/>
  <c r="M239" i="1"/>
  <c r="L243" i="1"/>
  <c r="L244" i="1" s="1"/>
  <c r="L246" i="1"/>
  <c r="M108" i="1"/>
  <c r="L112" i="1"/>
  <c r="L148" i="1"/>
  <c r="L145" i="1"/>
  <c r="L146" i="1" s="1"/>
  <c r="M141" i="1"/>
  <c r="M173" i="1"/>
  <c r="M176" i="1"/>
  <c r="P169" i="1"/>
  <c r="Q169" i="1"/>
  <c r="I260" i="1"/>
  <c r="I275" i="1" s="1"/>
  <c r="I274" i="1"/>
  <c r="I261" i="1"/>
  <c r="J268" i="1"/>
  <c r="J271" i="1"/>
  <c r="K250" i="1"/>
  <c r="Q22" i="1"/>
  <c r="P22" i="1"/>
  <c r="P234" i="1"/>
  <c r="Q234" i="1"/>
  <c r="M238" i="1"/>
  <c r="M140" i="1"/>
  <c r="Q138" i="1"/>
  <c r="P138" i="1"/>
  <c r="H272" i="1"/>
  <c r="H258" i="1"/>
  <c r="O257" i="1"/>
  <c r="H261" i="1"/>
  <c r="P229" i="1"/>
  <c r="M230" i="1"/>
  <c r="Q229" i="1"/>
  <c r="M208" i="1"/>
  <c r="L210" i="1"/>
  <c r="M33" i="1"/>
  <c r="Q26" i="1"/>
  <c r="M32" i="1"/>
  <c r="M28" i="1"/>
  <c r="P26" i="1"/>
  <c r="M152" i="1"/>
  <c r="L154" i="1"/>
  <c r="M100" i="1" l="1"/>
  <c r="M265" i="1"/>
  <c r="M266" i="1" s="1"/>
  <c r="B281" i="1" s="1"/>
  <c r="M104" i="1"/>
  <c r="Q99" i="1"/>
  <c r="P99" i="1"/>
  <c r="L250" i="1"/>
  <c r="Q230" i="1"/>
  <c r="P230" i="1"/>
  <c r="M145" i="1"/>
  <c r="Q141" i="1"/>
  <c r="P141" i="1"/>
  <c r="M148" i="1"/>
  <c r="M201" i="1"/>
  <c r="P197" i="1"/>
  <c r="Q197" i="1"/>
  <c r="M204" i="1"/>
  <c r="M117" i="1"/>
  <c r="Q113" i="1"/>
  <c r="P113" i="1"/>
  <c r="M120" i="1"/>
  <c r="P183" i="1"/>
  <c r="M187" i="1"/>
  <c r="M190" i="1"/>
  <c r="Q183" i="1"/>
  <c r="L267" i="1"/>
  <c r="Q55" i="1"/>
  <c r="P55" i="1"/>
  <c r="P11" i="1"/>
  <c r="Q11" i="1"/>
  <c r="M106" i="1"/>
  <c r="Q66" i="1"/>
  <c r="P66" i="1"/>
  <c r="Q216" i="1"/>
  <c r="P216" i="1"/>
  <c r="Q33" i="1"/>
  <c r="P33" i="1"/>
  <c r="Q108" i="1"/>
  <c r="P108" i="1"/>
  <c r="M112" i="1"/>
  <c r="J258" i="1"/>
  <c r="J259" i="1"/>
  <c r="Q131" i="1"/>
  <c r="P131" i="1"/>
  <c r="M132" i="1"/>
  <c r="P208" i="1"/>
  <c r="Q208" i="1"/>
  <c r="M210" i="1"/>
  <c r="K251" i="1"/>
  <c r="K255" i="1"/>
  <c r="K257" i="1" s="1"/>
  <c r="P44" i="1"/>
  <c r="Q44" i="1"/>
  <c r="M77" i="1"/>
  <c r="M72" i="1"/>
  <c r="Q70" i="1"/>
  <c r="P70" i="1"/>
  <c r="M76" i="1"/>
  <c r="Q155" i="1"/>
  <c r="P155" i="1"/>
  <c r="M162" i="1"/>
  <c r="M159" i="1"/>
  <c r="P152" i="1"/>
  <c r="M154" i="1"/>
  <c r="Q152" i="1"/>
  <c r="J272" i="1"/>
  <c r="P173" i="1"/>
  <c r="M174" i="1"/>
  <c r="Q173" i="1"/>
  <c r="P239" i="1"/>
  <c r="M243" i="1"/>
  <c r="M246" i="1"/>
  <c r="Q239" i="1"/>
  <c r="M10" i="1"/>
  <c r="M252" i="1" l="1"/>
  <c r="Q106" i="1"/>
  <c r="P106" i="1"/>
  <c r="P159" i="1"/>
  <c r="Q159" i="1"/>
  <c r="M160" i="1"/>
  <c r="Q243" i="1"/>
  <c r="P243" i="1"/>
  <c r="M244" i="1"/>
  <c r="P77" i="1"/>
  <c r="Q77" i="1"/>
  <c r="P174" i="1"/>
  <c r="Q174" i="1"/>
  <c r="Q187" i="1"/>
  <c r="M188" i="1"/>
  <c r="P187" i="1"/>
  <c r="P132" i="1"/>
  <c r="Q132" i="1"/>
  <c r="L251" i="1"/>
  <c r="L255" i="1"/>
  <c r="L257" i="1" s="1"/>
  <c r="M267" i="1"/>
  <c r="P201" i="1"/>
  <c r="Q201" i="1"/>
  <c r="M202" i="1"/>
  <c r="K258" i="1"/>
  <c r="K259" i="1"/>
  <c r="J260" i="1"/>
  <c r="J275" i="1" s="1"/>
  <c r="J274" i="1"/>
  <c r="J261" i="1"/>
  <c r="L271" i="1"/>
  <c r="L268" i="1"/>
  <c r="M118" i="1"/>
  <c r="P117" i="1"/>
  <c r="Q117" i="1"/>
  <c r="K272" i="1"/>
  <c r="M146" i="1"/>
  <c r="Q145" i="1"/>
  <c r="P145" i="1"/>
  <c r="Q202" i="1" l="1"/>
  <c r="P202" i="1"/>
  <c r="Q188" i="1"/>
  <c r="P188" i="1"/>
  <c r="L272" i="1"/>
  <c r="P160" i="1"/>
  <c r="Q160" i="1"/>
  <c r="K260" i="1"/>
  <c r="K275" i="1" s="1"/>
  <c r="K274" i="1"/>
  <c r="K261" i="1"/>
  <c r="M250" i="1"/>
  <c r="P118" i="1"/>
  <c r="Q118" i="1"/>
  <c r="M271" i="1"/>
  <c r="M268" i="1"/>
  <c r="Q146" i="1"/>
  <c r="P146" i="1"/>
  <c r="L258" i="1"/>
  <c r="L259" i="1"/>
  <c r="Q244" i="1"/>
  <c r="P244" i="1"/>
  <c r="Q252" i="1"/>
  <c r="P252" i="1"/>
  <c r="M253" i="1"/>
  <c r="M251" i="1" l="1"/>
  <c r="M255" i="1"/>
  <c r="Q250" i="1"/>
  <c r="P250" i="1"/>
  <c r="B282" i="1"/>
  <c r="L274" i="1"/>
  <c r="L261" i="1"/>
  <c r="L260" i="1"/>
  <c r="L275" i="1" s="1"/>
  <c r="P255" i="1" l="1"/>
  <c r="M257" i="1"/>
  <c r="Q255" i="1"/>
  <c r="M259" i="1" l="1"/>
  <c r="Q257" i="1"/>
  <c r="P257" i="1"/>
  <c r="B280" i="1"/>
  <c r="B283" i="1" s="1"/>
  <c r="M258" i="1"/>
  <c r="M272" i="1"/>
  <c r="B285" i="1" l="1"/>
  <c r="B284" i="1"/>
  <c r="M274" i="1"/>
  <c r="M261" i="1"/>
  <c r="M260" i="1"/>
  <c r="M275" i="1" s="1"/>
</calcChain>
</file>

<file path=xl/sharedStrings.xml><?xml version="1.0" encoding="utf-8"?>
<sst xmlns="http://schemas.openxmlformats.org/spreadsheetml/2006/main" count="318" uniqueCount="83">
  <si>
    <t>SEK 000,000</t>
  </si>
  <si>
    <t>2019A</t>
  </si>
  <si>
    <t>2020A</t>
  </si>
  <si>
    <t>2021A</t>
  </si>
  <si>
    <t>2022A</t>
  </si>
  <si>
    <t>2023A</t>
  </si>
  <si>
    <t>2024A</t>
  </si>
  <si>
    <t>2025A</t>
  </si>
  <si>
    <t>2026E</t>
  </si>
  <si>
    <t>2027E</t>
  </si>
  <si>
    <t>2028E</t>
  </si>
  <si>
    <t>2029E</t>
  </si>
  <si>
    <t>2030E</t>
  </si>
  <si>
    <t>2020 - 2025 CAGR</t>
  </si>
  <si>
    <t>2025 - 2030 CAGR</t>
  </si>
  <si>
    <t>2026 - 2030 CAGR</t>
  </si>
  <si>
    <t>Bemsiq</t>
  </si>
  <si>
    <t>N/A</t>
  </si>
  <si>
    <t>Growth</t>
  </si>
  <si>
    <t xml:space="preserve">EBIT </t>
  </si>
  <si>
    <t xml:space="preserve">EBIT margin </t>
  </si>
  <si>
    <t xml:space="preserve">EBIT multiple </t>
  </si>
  <si>
    <t>Operating capital</t>
  </si>
  <si>
    <t>Return on operating capital</t>
  </si>
  <si>
    <t xml:space="preserve">Valuation </t>
  </si>
  <si>
    <t>Caljan</t>
  </si>
  <si>
    <t>Hultafors Group</t>
  </si>
  <si>
    <t>Innovalift</t>
  </si>
  <si>
    <t>Latour Industries (Excl. Innovalift)</t>
  </si>
  <si>
    <t>Nord-Lock Group</t>
  </si>
  <si>
    <t>Swegon</t>
  </si>
  <si>
    <t>Other</t>
  </si>
  <si>
    <t xml:space="preserve">Latour Industries </t>
  </si>
  <si>
    <t>Revenue eliminations</t>
  </si>
  <si>
    <t>EBIT eliminations</t>
  </si>
  <si>
    <t>Total wholly-owned revenue</t>
  </si>
  <si>
    <t xml:space="preserve">Total wholly-owned EBIT </t>
  </si>
  <si>
    <t xml:space="preserve">Private investment valuation </t>
  </si>
  <si>
    <t>Alimak Group revenue</t>
  </si>
  <si>
    <t>EBIT</t>
  </si>
  <si>
    <t xml:space="preserve">Net income </t>
  </si>
  <si>
    <t>Latour share</t>
  </si>
  <si>
    <t xml:space="preserve">P/E ratio </t>
  </si>
  <si>
    <t xml:space="preserve">Market capitalisation </t>
  </si>
  <si>
    <t xml:space="preserve">Latour's stake </t>
  </si>
  <si>
    <t xml:space="preserve">Dividend payout </t>
  </si>
  <si>
    <t>Dividend</t>
  </si>
  <si>
    <t>ASSA ABLOY revenue</t>
  </si>
  <si>
    <t>CTEK revenue</t>
  </si>
  <si>
    <t>-</t>
  </si>
  <si>
    <t>NM</t>
  </si>
  <si>
    <t>Fagerhult revenue</t>
  </si>
  <si>
    <t>HMS Networks revenue</t>
  </si>
  <si>
    <t>Nederman Holding AB revenue</t>
  </si>
  <si>
    <t>Securitas AB revenue</t>
  </si>
  <si>
    <t>Sweco revenue</t>
  </si>
  <si>
    <t>TOMRA Systems revenue (NOK)</t>
  </si>
  <si>
    <t>Troax revenue</t>
  </si>
  <si>
    <t>Other Holdings</t>
  </si>
  <si>
    <t xml:space="preserve">Public investment valuation </t>
  </si>
  <si>
    <t>Combined investment portfolio valuation</t>
  </si>
  <si>
    <t xml:space="preserve">Net Debt </t>
  </si>
  <si>
    <t>Net asset value</t>
  </si>
  <si>
    <t xml:space="preserve">Net asset value per share </t>
  </si>
  <si>
    <t xml:space="preserve">Share price </t>
  </si>
  <si>
    <t>Premium/(discount) to NAV</t>
  </si>
  <si>
    <t>Weighted Average Diluted Shares Outstanding</t>
  </si>
  <si>
    <t xml:space="preserve">Dividend/Net income </t>
  </si>
  <si>
    <t>Share issuance</t>
  </si>
  <si>
    <t>Repurchases</t>
  </si>
  <si>
    <t xml:space="preserve">Net shareholder return </t>
  </si>
  <si>
    <t>Net shareholder return as share of net asset valuation</t>
  </si>
  <si>
    <t>Target market capitalisation</t>
  </si>
  <si>
    <t>Target stock price</t>
  </si>
  <si>
    <t>Key shareholder return data SEK 000,000</t>
  </si>
  <si>
    <t xml:space="preserve">Date of investment </t>
  </si>
  <si>
    <t xml:space="preserve">Current Market Capitalisation </t>
  </si>
  <si>
    <t xml:space="preserve">2030E Exit Market Capitalisation </t>
  </si>
  <si>
    <t>2025 - 2030 Earnings growth CAGR</t>
  </si>
  <si>
    <t>Dividends + Buyback - SBC (2026 - 2030)</t>
  </si>
  <si>
    <t>Total shareholder return + market capitalisation</t>
  </si>
  <si>
    <t>Total Return (including dividends and share buybacks)</t>
  </si>
  <si>
    <t>IRR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</si>
</sst>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_);_(* \(#,##0.0\)_)\ ;_(* 0_)"/>
    <numFmt numFmtId="165" formatCode="#,##0.0"/>
    <numFmt numFmtId="166" formatCode="#,##0.0\x"/>
    <numFmt numFmtId="167" formatCode="0.0\x"/>
    <numFmt numFmtId="168" formatCode="#,##0.0_);\(#,##0.0\)"/>
    <numFmt numFmtId="169" formatCode="_(* #,##0.0_);_(* \(#,##0.0\);_(* &quot;-&quot;?_);_(@_)"/>
    <numFmt numFmtId="170" formatCode="0.0%"/>
    <numFmt numFmtId="171" formatCode="_(#,##0.0%_);_(\(#,##0.0%\)_);_(#,##0.0%_)"/>
  </numFmts>
  <fonts count="15" x14ac:knownFonts="1"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rgb="FF7030A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i/>
      <sz val="7"/>
      <color rgb="FF7030A0"/>
      <name val="Arial"/>
      <family val="2"/>
    </font>
    <font>
      <sz val="8"/>
      <color theme="1"/>
      <name val="Arial"/>
      <family val="2"/>
    </font>
    <font>
      <i/>
      <sz val="8"/>
      <color rgb="FF000000"/>
      <name val="Arial"/>
      <family val="2"/>
    </font>
    <font>
      <i/>
      <sz val="7"/>
      <color theme="1"/>
      <name val="Arial"/>
      <family val="2"/>
    </font>
    <font>
      <sz val="8"/>
      <color rgb="FF000000"/>
      <name val="Arial"/>
      <family val="2"/>
    </font>
    <font>
      <i/>
      <sz val="7"/>
      <color theme="1" tint="4.9989318521683403E-2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4" fillId="3" borderId="0" xfId="0" applyFont="1" applyFill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165" fontId="3" fillId="0" borderId="0" xfId="0" applyNumberFormat="1" applyFont="1"/>
    <xf numFmtId="10" fontId="3" fillId="0" borderId="0" xfId="0" applyNumberFormat="1" applyFont="1"/>
    <xf numFmtId="0" fontId="7" fillId="0" borderId="0" xfId="0" applyFont="1" applyAlignment="1">
      <alignment horizontal="left" vertical="top" wrapText="1"/>
    </xf>
    <xf numFmtId="10" fontId="7" fillId="0" borderId="0" xfId="0" applyNumberFormat="1" applyFont="1" applyAlignment="1">
      <alignment horizontal="right" vertical="top" wrapText="1"/>
    </xf>
    <xf numFmtId="10" fontId="7" fillId="0" borderId="0" xfId="0" applyNumberFormat="1" applyFont="1"/>
    <xf numFmtId="0" fontId="8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6" fontId="6" fillId="0" borderId="0" xfId="0" applyNumberFormat="1" applyFont="1" applyAlignment="1">
      <alignment horizontal="right" vertical="top" wrapText="1"/>
    </xf>
    <xf numFmtId="167" fontId="3" fillId="0" borderId="0" xfId="0" applyNumberFormat="1" applyFont="1"/>
    <xf numFmtId="168" fontId="9" fillId="0" borderId="0" xfId="0" applyNumberFormat="1" applyFont="1" applyAlignment="1">
      <alignment horizontal="right" vertical="top" wrapText="1"/>
    </xf>
    <xf numFmtId="168" fontId="6" fillId="0" borderId="0" xfId="0" applyNumberFormat="1" applyFont="1" applyAlignment="1">
      <alignment horizontal="right" vertical="top" wrapText="1"/>
    </xf>
    <xf numFmtId="10" fontId="6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166" fontId="11" fillId="0" borderId="0" xfId="0" applyNumberFormat="1" applyFont="1" applyAlignment="1">
      <alignment horizontal="right" vertical="top" wrapText="1"/>
    </xf>
    <xf numFmtId="168" fontId="11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left" vertical="top" wrapText="1"/>
    </xf>
    <xf numFmtId="10" fontId="13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168" fontId="3" fillId="0" borderId="0" xfId="0" applyNumberFormat="1" applyFont="1"/>
    <xf numFmtId="166" fontId="5" fillId="0" borderId="0" xfId="0" applyNumberFormat="1" applyFont="1" applyAlignment="1">
      <alignment horizontal="right" vertical="top" wrapText="1"/>
    </xf>
    <xf numFmtId="168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165" fontId="4" fillId="3" borderId="0" xfId="0" applyNumberFormat="1" applyFont="1" applyFill="1" applyAlignment="1">
      <alignment horizontal="right" vertical="top" wrapText="1"/>
    </xf>
    <xf numFmtId="165" fontId="4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wrapText="1"/>
    </xf>
    <xf numFmtId="169" fontId="3" fillId="0" borderId="0" xfId="0" applyNumberFormat="1" applyFont="1"/>
    <xf numFmtId="0" fontId="14" fillId="3" borderId="0" xfId="0" applyFont="1" applyFill="1" applyAlignment="1">
      <alignment wrapText="1"/>
    </xf>
    <xf numFmtId="169" fontId="14" fillId="3" borderId="0" xfId="0" applyNumberFormat="1" applyFont="1" applyFill="1"/>
    <xf numFmtId="169" fontId="14" fillId="0" borderId="0" xfId="0" applyNumberFormat="1" applyFont="1"/>
    <xf numFmtId="0" fontId="14" fillId="0" borderId="0" xfId="0" applyFont="1"/>
    <xf numFmtId="43" fontId="3" fillId="0" borderId="0" xfId="0" applyNumberFormat="1" applyFont="1"/>
    <xf numFmtId="165" fontId="14" fillId="3" borderId="0" xfId="0" applyNumberFormat="1" applyFont="1" applyFill="1"/>
    <xf numFmtId="170" fontId="7" fillId="0" borderId="0" xfId="0" applyNumberFormat="1" applyFont="1" applyAlignment="1">
      <alignment wrapText="1"/>
    </xf>
    <xf numFmtId="170" fontId="7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vertical="top" wrapText="1"/>
    </xf>
    <xf numFmtId="166" fontId="3" fillId="0" borderId="0" xfId="0" applyNumberFormat="1" applyFont="1"/>
    <xf numFmtId="165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top" wrapText="1"/>
    </xf>
    <xf numFmtId="170" fontId="7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8" fillId="0" borderId="0" xfId="0" applyNumberFormat="1" applyFont="1"/>
    <xf numFmtId="164" fontId="11" fillId="0" borderId="0" xfId="0" applyNumberFormat="1" applyFont="1" applyAlignment="1">
      <alignment horizontal="right" vertical="top" wrapText="1"/>
    </xf>
    <xf numFmtId="165" fontId="14" fillId="0" borderId="0" xfId="0" applyNumberFormat="1" applyFont="1"/>
    <xf numFmtId="169" fontId="3" fillId="0" borderId="0" xfId="0" applyNumberFormat="1" applyFont="1" applyAlignment="1">
      <alignment horizontal="right"/>
    </xf>
    <xf numFmtId="169" fontId="14" fillId="3" borderId="0" xfId="0" applyNumberFormat="1" applyFont="1" applyFill="1" applyAlignment="1">
      <alignment horizontal="right"/>
    </xf>
    <xf numFmtId="169" fontId="1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right" vertical="top" wrapText="1"/>
    </xf>
    <xf numFmtId="171" fontId="7" fillId="0" borderId="0" xfId="0" applyNumberFormat="1" applyFont="1" applyAlignment="1">
      <alignment horizontal="right" vertical="top" wrapText="1"/>
    </xf>
    <xf numFmtId="0" fontId="14" fillId="3" borderId="0" xfId="0" applyFont="1" applyFill="1" applyAlignment="1">
      <alignment vertical="top" wrapText="1"/>
    </xf>
    <xf numFmtId="0" fontId="14" fillId="0" borderId="0" xfId="0" applyFont="1" applyAlignment="1">
      <alignment vertical="top" wrapText="1"/>
    </xf>
    <xf numFmtId="14" fontId="1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8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B86E-A526-B443-9033-92FABFE367AA}">
  <sheetPr>
    <outlinePr summaryBelow="0" summaryRight="0"/>
    <pageSetUpPr autoPageBreaks="0"/>
  </sheetPr>
  <dimension ref="A1:S285"/>
  <sheetViews>
    <sheetView tabSelected="1" zoomScale="276" zoomScaleNormal="276" workbookViewId="0">
      <pane ySplit="1" topLeftCell="A47" activePane="bottomLeft" state="frozen"/>
      <selection pane="bottomLeft" activeCell="J279" sqref="J279"/>
    </sheetView>
  </sheetViews>
  <sheetFormatPr baseColWidth="10" defaultRowHeight="13" x14ac:dyDescent="0.15"/>
  <cols>
    <col min="1" max="1" width="28" style="32" customWidth="1"/>
    <col min="2" max="2" width="13.83203125" style="4" customWidth="1"/>
    <col min="3" max="3" width="11.6640625" style="4" customWidth="1"/>
    <col min="4" max="5" width="10.1640625" style="4" customWidth="1"/>
    <col min="6" max="6" width="8.6640625" style="4" customWidth="1"/>
    <col min="7" max="7" width="9.83203125" style="4" customWidth="1"/>
    <col min="9" max="14" width="9" style="4" customWidth="1"/>
    <col min="15" max="17" width="13.6640625" style="4" customWidth="1"/>
    <col min="18" max="258" width="8.83203125" style="4" customWidth="1"/>
    <col min="259" max="16384" width="10.83203125" style="4"/>
  </cols>
  <sheetData>
    <row r="1" spans="1:17" ht="12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2" t="s">
        <v>13</v>
      </c>
      <c r="P1" s="2" t="s">
        <v>14</v>
      </c>
      <c r="Q1" s="2" t="s">
        <v>15</v>
      </c>
    </row>
    <row r="2" spans="1:17" ht="12" x14ac:dyDescent="0.15">
      <c r="A2" s="5" t="s">
        <v>16</v>
      </c>
      <c r="B2" s="6" t="s">
        <v>17</v>
      </c>
      <c r="C2" s="7">
        <v>725</v>
      </c>
      <c r="D2" s="7">
        <v>927</v>
      </c>
      <c r="E2" s="7">
        <v>1334</v>
      </c>
      <c r="F2" s="7">
        <v>1583</v>
      </c>
      <c r="G2" s="7">
        <v>1956</v>
      </c>
      <c r="H2" s="7">
        <v>2136</v>
      </c>
      <c r="I2" s="8">
        <f>H2*(1+I3)</f>
        <v>2331.6576</v>
      </c>
      <c r="J2" s="8">
        <f t="shared" ref="J2:M2" si="0">I2*(1+J3)</f>
        <v>2691.4323676800004</v>
      </c>
      <c r="K2" s="8">
        <f t="shared" si="0"/>
        <v>3057.1980264477124</v>
      </c>
      <c r="L2" s="8">
        <f t="shared" si="0"/>
        <v>3491.0144264006426</v>
      </c>
      <c r="M2" s="8">
        <f t="shared" si="0"/>
        <v>3959.8576638662494</v>
      </c>
      <c r="N2" s="8"/>
      <c r="O2" s="9">
        <f>(H2/C2)^(1/5)-1</f>
        <v>0.24123109921785701</v>
      </c>
      <c r="P2" s="9">
        <f>(M2/H2)^(1/5)-1</f>
        <v>0.13139867409495753</v>
      </c>
      <c r="Q2" s="9">
        <f>(M2/I2)^(1/4)-1</f>
        <v>0.14157303044106184</v>
      </c>
    </row>
    <row r="3" spans="1:17" ht="12" x14ac:dyDescent="0.15">
      <c r="A3" s="10" t="s">
        <v>18</v>
      </c>
      <c r="B3" s="7"/>
      <c r="C3" s="7"/>
      <c r="D3" s="11">
        <f>(D2/C2)-1</f>
        <v>0.27862068965517239</v>
      </c>
      <c r="E3" s="11">
        <f>(E2/D2)-1</f>
        <v>0.43905070118662359</v>
      </c>
      <c r="F3" s="11">
        <f>(F2/E2)-1</f>
        <v>0.18665667166416799</v>
      </c>
      <c r="G3" s="11">
        <f>(G2/F2)-1</f>
        <v>0.23562855337965893</v>
      </c>
      <c r="H3" s="11">
        <f>(H2/G2)-1</f>
        <v>9.2024539877300526E-2</v>
      </c>
      <c r="I3" s="12">
        <v>9.1600000000000001E-2</v>
      </c>
      <c r="J3" s="12">
        <v>0.15429999999999999</v>
      </c>
      <c r="K3" s="12">
        <v>0.13589999999999999</v>
      </c>
      <c r="L3" s="12">
        <v>0.1419</v>
      </c>
      <c r="M3" s="12">
        <v>0.1343</v>
      </c>
      <c r="N3" s="12"/>
      <c r="O3" s="12"/>
      <c r="P3" s="12"/>
      <c r="Q3" s="12"/>
    </row>
    <row r="4" spans="1:17" ht="12" x14ac:dyDescent="0.15">
      <c r="A4" s="13" t="s">
        <v>19</v>
      </c>
      <c r="B4" s="6" t="s">
        <v>17</v>
      </c>
      <c r="C4" s="7">
        <v>165</v>
      </c>
      <c r="D4" s="7">
        <v>198</v>
      </c>
      <c r="E4" s="7">
        <v>304</v>
      </c>
      <c r="F4" s="7">
        <v>366</v>
      </c>
      <c r="G4" s="7">
        <v>428</v>
      </c>
      <c r="H4" s="7">
        <v>444</v>
      </c>
      <c r="I4" s="8">
        <f>H4*(1+I5)</f>
        <v>484.13760000000002</v>
      </c>
      <c r="J4" s="8">
        <f t="shared" ref="J4:M4" si="1">I4*(1+J5)</f>
        <v>555.98361984000007</v>
      </c>
      <c r="K4" s="8">
        <f t="shared" si="1"/>
        <v>628.37268714316815</v>
      </c>
      <c r="L4" s="8">
        <f t="shared" si="1"/>
        <v>715.59081611863996</v>
      </c>
      <c r="M4" s="8">
        <f t="shared" si="1"/>
        <v>813.26896251883431</v>
      </c>
      <c r="N4" s="8"/>
      <c r="O4" s="9">
        <f>(H4/C4)^(1/5)-1</f>
        <v>0.21893291687147287</v>
      </c>
      <c r="P4" s="9">
        <f>(M4/H4)^(1/5)-1</f>
        <v>0.12867848260364245</v>
      </c>
      <c r="Q4" s="9">
        <f>(M4/I4)^(1/4)-1</f>
        <v>0.13845625173634279</v>
      </c>
    </row>
    <row r="5" spans="1:17" ht="12" x14ac:dyDescent="0.15">
      <c r="A5" s="10" t="s">
        <v>18</v>
      </c>
      <c r="B5" s="7"/>
      <c r="C5" s="7"/>
      <c r="D5" s="11">
        <f>(D4/C4)-1</f>
        <v>0.19999999999999996</v>
      </c>
      <c r="E5" s="11">
        <f>(E4/D4)-1</f>
        <v>0.53535353535353525</v>
      </c>
      <c r="F5" s="11">
        <f>(F4/E4)-1</f>
        <v>0.20394736842105265</v>
      </c>
      <c r="G5" s="11">
        <f>(G4/F4)-1</f>
        <v>0.1693989071038251</v>
      </c>
      <c r="H5" s="11">
        <f>(H4/G4)-1</f>
        <v>3.7383177570093462E-2</v>
      </c>
      <c r="I5" s="12">
        <v>9.0399999999999994E-2</v>
      </c>
      <c r="J5" s="12">
        <v>0.1484</v>
      </c>
      <c r="K5" s="12">
        <v>0.13020000000000001</v>
      </c>
      <c r="L5" s="12">
        <v>0.13880000000000001</v>
      </c>
      <c r="M5" s="12">
        <v>0.13650000000000001</v>
      </c>
      <c r="N5" s="12"/>
      <c r="O5" s="12"/>
      <c r="P5" s="12"/>
      <c r="Q5" s="12"/>
    </row>
    <row r="6" spans="1:17" ht="12" x14ac:dyDescent="0.15">
      <c r="A6" s="10" t="s">
        <v>20</v>
      </c>
      <c r="B6" s="7"/>
      <c r="C6" s="11">
        <f t="shared" ref="C6:H6" si="2">C4/C2</f>
        <v>0.22758620689655173</v>
      </c>
      <c r="D6" s="11">
        <f t="shared" si="2"/>
        <v>0.21359223300970873</v>
      </c>
      <c r="E6" s="11">
        <f t="shared" si="2"/>
        <v>0.22788605697151423</v>
      </c>
      <c r="F6" s="11">
        <f t="shared" si="2"/>
        <v>0.23120656980416929</v>
      </c>
      <c r="G6" s="11">
        <f t="shared" si="2"/>
        <v>0.21881390593047034</v>
      </c>
      <c r="H6" s="11">
        <f t="shared" si="2"/>
        <v>0.20786516853932585</v>
      </c>
      <c r="I6" s="12">
        <f>I4/I2</f>
        <v>0.20763666157500998</v>
      </c>
      <c r="J6" s="12">
        <f t="shared" ref="J6:M6" si="3">J4/J2</f>
        <v>0.20657536355604389</v>
      </c>
      <c r="K6" s="12">
        <f t="shared" si="3"/>
        <v>0.20553875859762377</v>
      </c>
      <c r="L6" s="12">
        <f t="shared" si="3"/>
        <v>0.20498076739729748</v>
      </c>
      <c r="M6" s="12">
        <f t="shared" si="3"/>
        <v>0.20537833214055237</v>
      </c>
      <c r="N6" s="12"/>
      <c r="O6" s="12"/>
      <c r="P6" s="12"/>
      <c r="Q6" s="12"/>
    </row>
    <row r="7" spans="1:17" ht="12" x14ac:dyDescent="0.15">
      <c r="A7" s="13" t="s">
        <v>21</v>
      </c>
      <c r="B7" s="14" t="s">
        <v>17</v>
      </c>
      <c r="C7" s="15">
        <v>16</v>
      </c>
      <c r="D7" s="15">
        <v>20</v>
      </c>
      <c r="E7" s="15">
        <v>19</v>
      </c>
      <c r="F7" s="15">
        <v>19</v>
      </c>
      <c r="G7" s="15">
        <v>19</v>
      </c>
      <c r="H7" s="15">
        <v>19</v>
      </c>
      <c r="I7" s="16">
        <v>19</v>
      </c>
      <c r="J7" s="16">
        <v>19</v>
      </c>
      <c r="K7" s="16">
        <v>19</v>
      </c>
      <c r="L7" s="16">
        <v>19</v>
      </c>
      <c r="M7" s="16">
        <v>19</v>
      </c>
      <c r="N7" s="16"/>
      <c r="O7" s="16"/>
      <c r="P7" s="16"/>
      <c r="Q7" s="16"/>
    </row>
    <row r="8" spans="1:17" ht="12" x14ac:dyDescent="0.15">
      <c r="A8" s="13" t="s">
        <v>22</v>
      </c>
      <c r="B8" s="17"/>
      <c r="C8" s="18">
        <v>1346</v>
      </c>
      <c r="D8" s="18">
        <v>1734</v>
      </c>
      <c r="E8" s="18">
        <v>2233</v>
      </c>
      <c r="F8" s="18">
        <v>2970</v>
      </c>
      <c r="G8" s="18">
        <v>3744</v>
      </c>
      <c r="H8" s="18">
        <v>3948</v>
      </c>
      <c r="I8" s="8">
        <f>H8*(1+I9)</f>
        <v>4280.8164000000006</v>
      </c>
      <c r="J8" s="8">
        <f t="shared" ref="J8:M8" si="4">I8*(1+J9)</f>
        <v>4984.1545345200002</v>
      </c>
      <c r="K8" s="8">
        <f t="shared" si="4"/>
        <v>5553.8433978156363</v>
      </c>
      <c r="L8" s="8">
        <f t="shared" si="4"/>
        <v>6305.8337938798732</v>
      </c>
      <c r="M8" s="8">
        <f t="shared" si="4"/>
        <v>6893.5375034694771</v>
      </c>
      <c r="N8" s="16"/>
      <c r="O8" s="16"/>
      <c r="P8" s="16"/>
      <c r="Q8" s="16"/>
    </row>
    <row r="9" spans="1:17" ht="12" x14ac:dyDescent="0.15">
      <c r="A9" s="10" t="s">
        <v>18</v>
      </c>
      <c r="B9" s="19"/>
      <c r="C9" s="19"/>
      <c r="D9" s="11">
        <f>(D8/C8)-1</f>
        <v>0.28826151560178315</v>
      </c>
      <c r="E9" s="11">
        <f>(E8/D8)-1</f>
        <v>0.28777393310265276</v>
      </c>
      <c r="F9" s="11">
        <f>(F8/E8)-1</f>
        <v>0.33004926108374377</v>
      </c>
      <c r="G9" s="11">
        <f>(G8/F8)-1</f>
        <v>0.26060606060606051</v>
      </c>
      <c r="H9" s="11">
        <f>(H8/G8)-1</f>
        <v>5.4487179487179516E-2</v>
      </c>
      <c r="I9" s="12">
        <v>8.43E-2</v>
      </c>
      <c r="J9" s="12">
        <v>0.1643</v>
      </c>
      <c r="K9" s="12">
        <v>0.1143</v>
      </c>
      <c r="L9" s="12">
        <v>0.13539999999999999</v>
      </c>
      <c r="M9" s="12">
        <v>9.3200000000000005E-2</v>
      </c>
      <c r="N9" s="12"/>
      <c r="O9" s="12"/>
      <c r="P9" s="12"/>
      <c r="Q9" s="12"/>
    </row>
    <row r="10" spans="1:17" ht="12" x14ac:dyDescent="0.15">
      <c r="A10" s="10" t="s">
        <v>23</v>
      </c>
      <c r="B10" s="19"/>
      <c r="C10" s="11">
        <f>C4/C8</f>
        <v>0.1225854383358098</v>
      </c>
      <c r="D10" s="11">
        <f>D4/D8</f>
        <v>0.11418685121107267</v>
      </c>
      <c r="E10" s="11">
        <f t="shared" ref="E10:M10" si="5">E4/E8</f>
        <v>0.13613972234661889</v>
      </c>
      <c r="F10" s="11">
        <f t="shared" si="5"/>
        <v>0.12323232323232323</v>
      </c>
      <c r="G10" s="11">
        <f t="shared" si="5"/>
        <v>0.11431623931623931</v>
      </c>
      <c r="H10" s="11">
        <f t="shared" si="5"/>
        <v>0.11246200607902736</v>
      </c>
      <c r="I10" s="11">
        <f t="shared" si="5"/>
        <v>0.1130946891345305</v>
      </c>
      <c r="J10" s="11">
        <f t="shared" si="5"/>
        <v>0.11155023705410534</v>
      </c>
      <c r="K10" s="11">
        <f t="shared" si="5"/>
        <v>0.11314195272238164</v>
      </c>
      <c r="L10" s="11">
        <f t="shared" si="5"/>
        <v>0.11348076075413796</v>
      </c>
      <c r="M10" s="11">
        <f t="shared" si="5"/>
        <v>0.11797556220003456</v>
      </c>
      <c r="N10" s="12"/>
      <c r="O10" s="12"/>
      <c r="P10" s="12"/>
      <c r="Q10" s="12"/>
    </row>
    <row r="11" spans="1:17" ht="12" x14ac:dyDescent="0.15">
      <c r="A11" s="13" t="s">
        <v>24</v>
      </c>
      <c r="B11" s="7"/>
      <c r="C11" s="7">
        <f>C4*C7</f>
        <v>2640</v>
      </c>
      <c r="D11" s="7">
        <f>D4*D7</f>
        <v>3960</v>
      </c>
      <c r="E11" s="7">
        <f t="shared" ref="E11:M11" si="6">E4*E7</f>
        <v>5776</v>
      </c>
      <c r="F11" s="7">
        <f t="shared" si="6"/>
        <v>6954</v>
      </c>
      <c r="G11" s="7">
        <f t="shared" si="6"/>
        <v>8132</v>
      </c>
      <c r="H11" s="7">
        <f t="shared" si="6"/>
        <v>8436</v>
      </c>
      <c r="I11" s="7">
        <f t="shared" si="6"/>
        <v>9198.6144000000004</v>
      </c>
      <c r="J11" s="7">
        <f t="shared" si="6"/>
        <v>10563.688776960002</v>
      </c>
      <c r="K11" s="7">
        <f t="shared" si="6"/>
        <v>11939.081055720195</v>
      </c>
      <c r="L11" s="7">
        <f t="shared" si="6"/>
        <v>13596.225506254159</v>
      </c>
      <c r="M11" s="7">
        <f t="shared" si="6"/>
        <v>15452.110287857851</v>
      </c>
      <c r="N11" s="7"/>
      <c r="O11" s="9">
        <f>(H11/C11)^(1/5)-1</f>
        <v>0.26155598660310586</v>
      </c>
      <c r="P11" s="9">
        <f>(M11/H11)^(1/5)-1</f>
        <v>0.12867848260364245</v>
      </c>
      <c r="Q11" s="9">
        <f>(M11/I11)^(1/4)-1</f>
        <v>0.13845625173634279</v>
      </c>
    </row>
    <row r="12" spans="1:17" x14ac:dyDescent="0.15">
      <c r="A12" s="20"/>
      <c r="B12" s="7"/>
      <c r="C12" s="7"/>
      <c r="D12" s="7"/>
      <c r="E12" s="7"/>
      <c r="F12" s="7"/>
      <c r="G12" s="7"/>
    </row>
    <row r="13" spans="1:17" ht="12" x14ac:dyDescent="0.15">
      <c r="A13" s="5" t="s">
        <v>25</v>
      </c>
      <c r="B13" s="7">
        <v>113</v>
      </c>
      <c r="C13" s="7">
        <v>1176</v>
      </c>
      <c r="D13" s="7">
        <v>1527</v>
      </c>
      <c r="E13" s="7">
        <v>2140</v>
      </c>
      <c r="F13" s="7">
        <v>1980</v>
      </c>
      <c r="G13" s="7">
        <v>1441</v>
      </c>
      <c r="H13" s="7">
        <v>1542</v>
      </c>
      <c r="I13" s="8">
        <f>H13*(1+I14)</f>
        <v>1887.8706</v>
      </c>
      <c r="J13" s="8">
        <f t="shared" ref="J13:M13" si="7">I13*(1+J14)</f>
        <v>2082.1324847400001</v>
      </c>
      <c r="K13" s="8">
        <f t="shared" si="7"/>
        <v>2256.6151869612122</v>
      </c>
      <c r="L13" s="8">
        <f t="shared" si="7"/>
        <v>2441.4319707733357</v>
      </c>
      <c r="M13" s="8">
        <f t="shared" si="7"/>
        <v>2664.3347097049409</v>
      </c>
      <c r="N13" s="8"/>
      <c r="O13" s="9">
        <f>(H13/C13)^(1/5)-1</f>
        <v>5.5687575665890998E-2</v>
      </c>
      <c r="P13" s="9">
        <f>(M13/H13)^(1/5)-1</f>
        <v>0.11558041638728378</v>
      </c>
      <c r="Q13" s="9">
        <f>(M13/I13)^(1/4)-1</f>
        <v>8.9943886708578891E-2</v>
      </c>
    </row>
    <row r="14" spans="1:17" ht="12" x14ac:dyDescent="0.15">
      <c r="A14" s="10" t="s">
        <v>18</v>
      </c>
      <c r="B14" s="7"/>
      <c r="C14" s="11"/>
      <c r="D14" s="11">
        <f t="shared" ref="D14:H14" si="8">(D13/C13)-1</f>
        <v>0.29846938775510212</v>
      </c>
      <c r="E14" s="11">
        <f t="shared" si="8"/>
        <v>0.40144073346430909</v>
      </c>
      <c r="F14" s="11">
        <f t="shared" si="8"/>
        <v>-7.4766355140186924E-2</v>
      </c>
      <c r="G14" s="11">
        <f t="shared" si="8"/>
        <v>-0.27222222222222225</v>
      </c>
      <c r="H14" s="11">
        <f t="shared" si="8"/>
        <v>7.0090215128383093E-2</v>
      </c>
      <c r="I14" s="12">
        <v>0.2243</v>
      </c>
      <c r="J14" s="12">
        <v>0.10290000000000001</v>
      </c>
      <c r="K14" s="12">
        <v>8.3799999999999999E-2</v>
      </c>
      <c r="L14" s="12">
        <v>8.1900000000000001E-2</v>
      </c>
      <c r="M14" s="12">
        <v>9.1300000000000006E-2</v>
      </c>
      <c r="N14" s="12"/>
      <c r="O14" s="12"/>
      <c r="P14" s="12"/>
      <c r="Q14" s="12"/>
    </row>
    <row r="15" spans="1:17" ht="12" x14ac:dyDescent="0.15">
      <c r="A15" s="13" t="s">
        <v>19</v>
      </c>
      <c r="B15" s="7">
        <v>20</v>
      </c>
      <c r="C15" s="7">
        <v>207</v>
      </c>
      <c r="D15" s="7">
        <v>276</v>
      </c>
      <c r="E15" s="7">
        <v>452</v>
      </c>
      <c r="F15" s="7">
        <v>336</v>
      </c>
      <c r="G15" s="7">
        <v>175</v>
      </c>
      <c r="H15" s="7">
        <v>278</v>
      </c>
      <c r="I15" s="8">
        <f>H15*(1+I16)</f>
        <v>346.52699999999999</v>
      </c>
      <c r="J15" s="8">
        <f t="shared" ref="J15:M15" si="9">I15*(1+J16)</f>
        <v>394.5902949</v>
      </c>
      <c r="K15" s="8">
        <f t="shared" si="9"/>
        <v>431.99745485651999</v>
      </c>
      <c r="L15" s="8">
        <f t="shared" si="9"/>
        <v>470.66122706617847</v>
      </c>
      <c r="M15" s="8">
        <f t="shared" si="9"/>
        <v>516.45656445971758</v>
      </c>
      <c r="N15" s="8"/>
      <c r="O15" s="9">
        <f>(H15/C15)^(1/5)-1</f>
        <v>6.0754517727700907E-2</v>
      </c>
      <c r="P15" s="9">
        <f>(M15/H15)^(1/5)-1</f>
        <v>0.13187326305759006</v>
      </c>
      <c r="Q15" s="9">
        <f>(M15/I15)^(1/4)-1</f>
        <v>0.10490307131910481</v>
      </c>
    </row>
    <row r="16" spans="1:17" ht="12" x14ac:dyDescent="0.15">
      <c r="A16" s="10" t="s">
        <v>18</v>
      </c>
      <c r="B16" s="7"/>
      <c r="C16" s="11"/>
      <c r="D16" s="11">
        <f t="shared" ref="D16:H16" si="10">(D15/C15)-1</f>
        <v>0.33333333333333326</v>
      </c>
      <c r="E16" s="11">
        <f t="shared" si="10"/>
        <v>0.6376811594202898</v>
      </c>
      <c r="F16" s="11">
        <f t="shared" si="10"/>
        <v>-0.25663716814159288</v>
      </c>
      <c r="G16" s="11">
        <f t="shared" si="10"/>
        <v>-0.47916666666666663</v>
      </c>
      <c r="H16" s="11">
        <f t="shared" si="10"/>
        <v>0.58857142857142852</v>
      </c>
      <c r="I16" s="12">
        <v>0.2465</v>
      </c>
      <c r="J16" s="12">
        <v>0.13869999999999999</v>
      </c>
      <c r="K16" s="12">
        <v>9.4799999999999995E-2</v>
      </c>
      <c r="L16" s="12">
        <v>8.9499999999999996E-2</v>
      </c>
      <c r="M16" s="12">
        <v>9.7299999999999998E-2</v>
      </c>
      <c r="N16" s="12"/>
      <c r="O16" s="12"/>
      <c r="P16" s="12"/>
      <c r="Q16" s="12"/>
    </row>
    <row r="17" spans="1:17" ht="12" x14ac:dyDescent="0.15">
      <c r="A17" s="10" t="s">
        <v>20</v>
      </c>
      <c r="B17" s="11">
        <f t="shared" ref="B17:M17" si="11">B15/B13</f>
        <v>0.17699115044247787</v>
      </c>
      <c r="C17" s="11">
        <f t="shared" si="11"/>
        <v>0.17602040816326531</v>
      </c>
      <c r="D17" s="11">
        <f t="shared" si="11"/>
        <v>0.18074656188605109</v>
      </c>
      <c r="E17" s="11">
        <f t="shared" si="11"/>
        <v>0.21121495327102804</v>
      </c>
      <c r="F17" s="11">
        <f t="shared" si="11"/>
        <v>0.16969696969696971</v>
      </c>
      <c r="G17" s="11">
        <f t="shared" si="11"/>
        <v>0.12144344205412907</v>
      </c>
      <c r="H17" s="11">
        <f t="shared" si="11"/>
        <v>0.18028534370946822</v>
      </c>
      <c r="I17" s="11">
        <f t="shared" si="11"/>
        <v>0.18355442369831915</v>
      </c>
      <c r="J17" s="11">
        <f t="shared" si="11"/>
        <v>0.18951257799009522</v>
      </c>
      <c r="K17" s="11">
        <f t="shared" si="11"/>
        <v>0.19143603098685757</v>
      </c>
      <c r="L17" s="11">
        <f t="shared" si="11"/>
        <v>0.19278080761639826</v>
      </c>
      <c r="M17" s="11">
        <f t="shared" si="11"/>
        <v>0.19384072225554275</v>
      </c>
      <c r="N17" s="11"/>
      <c r="O17" s="11"/>
      <c r="P17" s="11"/>
      <c r="Q17" s="11"/>
    </row>
    <row r="18" spans="1:17" ht="12" x14ac:dyDescent="0.15">
      <c r="A18" s="13" t="s">
        <v>21</v>
      </c>
      <c r="B18" s="21">
        <v>17</v>
      </c>
      <c r="C18" s="15">
        <v>19</v>
      </c>
      <c r="D18" s="15">
        <v>22</v>
      </c>
      <c r="E18" s="15">
        <v>19</v>
      </c>
      <c r="F18" s="15">
        <v>18</v>
      </c>
      <c r="G18" s="15">
        <v>18</v>
      </c>
      <c r="H18" s="15">
        <v>18</v>
      </c>
      <c r="I18" s="16">
        <v>18</v>
      </c>
      <c r="J18" s="16">
        <v>18</v>
      </c>
      <c r="K18" s="16">
        <v>18</v>
      </c>
      <c r="L18" s="16">
        <v>18</v>
      </c>
      <c r="M18" s="16">
        <v>18</v>
      </c>
      <c r="N18" s="16"/>
      <c r="O18" s="16"/>
      <c r="P18" s="16"/>
      <c r="Q18" s="16"/>
    </row>
    <row r="19" spans="1:17" ht="12" x14ac:dyDescent="0.15">
      <c r="A19" s="13" t="s">
        <v>22</v>
      </c>
      <c r="B19" s="22">
        <v>441</v>
      </c>
      <c r="C19" s="18">
        <v>2706</v>
      </c>
      <c r="D19" s="18">
        <v>2551</v>
      </c>
      <c r="E19" s="18">
        <v>3078</v>
      </c>
      <c r="F19" s="18">
        <v>3322</v>
      </c>
      <c r="G19" s="18">
        <v>3144</v>
      </c>
      <c r="H19" s="18">
        <v>2965</v>
      </c>
      <c r="I19" s="8">
        <f>H19*(1+I20)</f>
        <v>3158.6144999999997</v>
      </c>
      <c r="J19" s="8">
        <f t="shared" ref="J19:M19" si="12">I19*(1+J20)</f>
        <v>3423.938118</v>
      </c>
      <c r="K19" s="8">
        <f t="shared" si="12"/>
        <v>3765.6471421764004</v>
      </c>
      <c r="L19" s="8">
        <f t="shared" si="12"/>
        <v>4126.3961383968999</v>
      </c>
      <c r="M19" s="8">
        <f t="shared" si="12"/>
        <v>4524.593365752201</v>
      </c>
      <c r="N19" s="16"/>
      <c r="O19" s="16"/>
      <c r="P19" s="16"/>
      <c r="Q19" s="16"/>
    </row>
    <row r="20" spans="1:17" ht="12" x14ac:dyDescent="0.15">
      <c r="A20" s="10" t="s">
        <v>18</v>
      </c>
      <c r="B20" s="19"/>
      <c r="C20" s="11"/>
      <c r="D20" s="11">
        <f>(D19/C19)-1</f>
        <v>-5.7280118255727985E-2</v>
      </c>
      <c r="E20" s="11">
        <f>(E19/D19)-1</f>
        <v>0.20658565268522144</v>
      </c>
      <c r="F20" s="11">
        <f>(F19/E19)-1</f>
        <v>7.9272254710851309E-2</v>
      </c>
      <c r="G20" s="11">
        <f>(G19/F19)-1</f>
        <v>-5.3582179409993991E-2</v>
      </c>
      <c r="H20" s="11">
        <f>(H19/G19)-1</f>
        <v>-5.6933842239185739E-2</v>
      </c>
      <c r="I20" s="12">
        <v>6.5299999999999997E-2</v>
      </c>
      <c r="J20" s="12">
        <v>8.4000000000000005E-2</v>
      </c>
      <c r="K20" s="12">
        <v>9.98E-2</v>
      </c>
      <c r="L20" s="12">
        <v>9.5799999999999996E-2</v>
      </c>
      <c r="M20" s="12">
        <v>9.6500000000000002E-2</v>
      </c>
      <c r="N20" s="12"/>
      <c r="O20" s="12"/>
      <c r="P20" s="12"/>
      <c r="Q20" s="12"/>
    </row>
    <row r="21" spans="1:17" ht="12" x14ac:dyDescent="0.15">
      <c r="A21" s="10" t="s">
        <v>23</v>
      </c>
      <c r="B21" s="11">
        <f>B15/B19</f>
        <v>4.5351473922902494E-2</v>
      </c>
      <c r="C21" s="11">
        <f>C15/C19</f>
        <v>7.6496674057649663E-2</v>
      </c>
      <c r="D21" s="11">
        <f>D15/D19</f>
        <v>0.10819286554292434</v>
      </c>
      <c r="E21" s="11">
        <f t="shared" ref="E21:M21" si="13">E15/E19</f>
        <v>0.14684860298895386</v>
      </c>
      <c r="F21" s="11">
        <f t="shared" si="13"/>
        <v>0.10114388922335943</v>
      </c>
      <c r="G21" s="11">
        <f t="shared" si="13"/>
        <v>5.5661577608142492E-2</v>
      </c>
      <c r="H21" s="11">
        <f t="shared" si="13"/>
        <v>9.376053962900506E-2</v>
      </c>
      <c r="I21" s="11">
        <f t="shared" si="13"/>
        <v>0.10970854467995383</v>
      </c>
      <c r="J21" s="11">
        <f t="shared" si="13"/>
        <v>0.11524457548622086</v>
      </c>
      <c r="K21" s="11">
        <f t="shared" si="13"/>
        <v>0.11472064124596708</v>
      </c>
      <c r="L21" s="11">
        <f t="shared" si="13"/>
        <v>0.11406108654634158</v>
      </c>
      <c r="M21" s="11">
        <f t="shared" si="13"/>
        <v>0.11414430484933935</v>
      </c>
      <c r="N21" s="12"/>
      <c r="O21" s="12"/>
      <c r="P21" s="12"/>
      <c r="Q21" s="12"/>
    </row>
    <row r="22" spans="1:17" ht="12" x14ac:dyDescent="0.15">
      <c r="A22" s="13" t="s">
        <v>24</v>
      </c>
      <c r="B22" s="7">
        <f t="shared" ref="B22:M22" si="14">B15*B18</f>
        <v>340</v>
      </c>
      <c r="C22" s="7">
        <f t="shared" si="14"/>
        <v>3933</v>
      </c>
      <c r="D22" s="7">
        <f t="shared" si="14"/>
        <v>6072</v>
      </c>
      <c r="E22" s="7">
        <f t="shared" si="14"/>
        <v>8588</v>
      </c>
      <c r="F22" s="7">
        <f t="shared" si="14"/>
        <v>6048</v>
      </c>
      <c r="G22" s="7">
        <f t="shared" si="14"/>
        <v>3150</v>
      </c>
      <c r="H22" s="7">
        <f t="shared" si="14"/>
        <v>5004</v>
      </c>
      <c r="I22" s="7">
        <f t="shared" si="14"/>
        <v>6237.4859999999999</v>
      </c>
      <c r="J22" s="7">
        <f t="shared" si="14"/>
        <v>7102.6253082000003</v>
      </c>
      <c r="K22" s="7">
        <f t="shared" si="14"/>
        <v>7775.9541874173601</v>
      </c>
      <c r="L22" s="7">
        <f t="shared" si="14"/>
        <v>8471.9020871912126</v>
      </c>
      <c r="M22" s="7">
        <f t="shared" si="14"/>
        <v>9296.218160274917</v>
      </c>
      <c r="N22" s="7"/>
      <c r="O22" s="9">
        <f>(H22/C22)^(1/5)-1</f>
        <v>4.9345902264461117E-2</v>
      </c>
      <c r="P22" s="9">
        <f>(M22/H22)^(1/5)-1</f>
        <v>0.13187326305759006</v>
      </c>
      <c r="Q22" s="9">
        <f>(M22/I22)^(1/4)-1</f>
        <v>0.10490307131910481</v>
      </c>
    </row>
    <row r="23" spans="1:17" x14ac:dyDescent="0.15">
      <c r="A23" s="23"/>
      <c r="B23" s="7"/>
      <c r="C23" s="7"/>
      <c r="D23" s="7"/>
      <c r="E23" s="7"/>
      <c r="F23" s="7"/>
      <c r="G23" s="7"/>
    </row>
    <row r="24" spans="1:17" ht="12" x14ac:dyDescent="0.15">
      <c r="A24" s="5" t="s">
        <v>26</v>
      </c>
      <c r="B24" s="7">
        <v>2896</v>
      </c>
      <c r="C24" s="7">
        <v>3641</v>
      </c>
      <c r="D24" s="7">
        <v>5544</v>
      </c>
      <c r="E24" s="7">
        <v>6649</v>
      </c>
      <c r="F24" s="7">
        <v>6962</v>
      </c>
      <c r="G24" s="7">
        <v>6788</v>
      </c>
      <c r="H24" s="7">
        <v>6719</v>
      </c>
      <c r="I24" s="8">
        <f>H24*(1+I25)</f>
        <v>6841.9576999999999</v>
      </c>
      <c r="J24" s="8">
        <f t="shared" ref="J24:M24" si="15">I24*(1+J25)</f>
        <v>7441.3131945199993</v>
      </c>
      <c r="K24" s="8">
        <f t="shared" si="15"/>
        <v>8213.7215041111758</v>
      </c>
      <c r="L24" s="8">
        <f t="shared" si="15"/>
        <v>9136.122429022862</v>
      </c>
      <c r="M24" s="8">
        <f t="shared" si="15"/>
        <v>10099.069733041872</v>
      </c>
      <c r="N24" s="8"/>
      <c r="O24" s="9">
        <f>(H24/C24)^(1/5)-1</f>
        <v>0.13036003039654176</v>
      </c>
      <c r="P24" s="9">
        <f>(M24/H24)^(1/5)-1</f>
        <v>8.4914081181296064E-2</v>
      </c>
      <c r="Q24" s="9">
        <f>(M24/I24)^(1/4)-1</f>
        <v>0.10223766280763447</v>
      </c>
    </row>
    <row r="25" spans="1:17" ht="12" x14ac:dyDescent="0.15">
      <c r="A25" s="10" t="s">
        <v>18</v>
      </c>
      <c r="B25" s="7"/>
      <c r="C25" s="11">
        <f t="shared" ref="C25:H25" si="16">(C24/B24)-1</f>
        <v>0.25725138121546953</v>
      </c>
      <c r="D25" s="11">
        <f t="shared" si="16"/>
        <v>0.5226586102719033</v>
      </c>
      <c r="E25" s="11">
        <f t="shared" si="16"/>
        <v>0.19931457431457433</v>
      </c>
      <c r="F25" s="11">
        <f t="shared" si="16"/>
        <v>4.7074748082418516E-2</v>
      </c>
      <c r="G25" s="11">
        <f t="shared" si="16"/>
        <v>-2.4992818155702423E-2</v>
      </c>
      <c r="H25" s="11">
        <f t="shared" si="16"/>
        <v>-1.0164997053624059E-2</v>
      </c>
      <c r="I25" s="12">
        <v>1.83E-2</v>
      </c>
      <c r="J25" s="12">
        <v>8.7599999999999997E-2</v>
      </c>
      <c r="K25" s="12">
        <v>0.1038</v>
      </c>
      <c r="L25" s="12">
        <v>0.1123</v>
      </c>
      <c r="M25" s="12">
        <v>0.10539999999999999</v>
      </c>
      <c r="N25" s="12"/>
      <c r="O25" s="12"/>
      <c r="P25" s="12"/>
      <c r="Q25" s="12"/>
    </row>
    <row r="26" spans="1:17" ht="12" x14ac:dyDescent="0.15">
      <c r="A26" s="13" t="s">
        <v>19</v>
      </c>
      <c r="B26" s="7">
        <v>412</v>
      </c>
      <c r="C26" s="7">
        <v>561</v>
      </c>
      <c r="D26" s="7">
        <v>860</v>
      </c>
      <c r="E26" s="7">
        <v>977</v>
      </c>
      <c r="F26" s="7">
        <v>1126</v>
      </c>
      <c r="G26" s="7">
        <v>1076</v>
      </c>
      <c r="H26" s="7">
        <v>978</v>
      </c>
      <c r="I26" s="8">
        <f>H26*(1+I27)</f>
        <v>949.63799999999992</v>
      </c>
      <c r="J26" s="8">
        <f t="shared" ref="J26:M26" si="17">I26*(1+J27)</f>
        <v>1033.8708905999999</v>
      </c>
      <c r="K26" s="8">
        <f t="shared" si="17"/>
        <v>1132.5021735632399</v>
      </c>
      <c r="L26" s="8">
        <f t="shared" si="17"/>
        <v>1259.1159165676099</v>
      </c>
      <c r="M26" s="8">
        <f t="shared" si="17"/>
        <v>1391.5749109905225</v>
      </c>
      <c r="N26" s="8"/>
      <c r="O26" s="9">
        <f>(H26/C26)^(1/5)-1</f>
        <v>0.11757119304863251</v>
      </c>
      <c r="P26" s="9">
        <f>(M26/H26)^(1/5)-1</f>
        <v>7.3083574061963086E-2</v>
      </c>
      <c r="Q26" s="9">
        <f>(M26/I26)^(1/4)-1</f>
        <v>0.10023923081686714</v>
      </c>
    </row>
    <row r="27" spans="1:17" ht="12" x14ac:dyDescent="0.15">
      <c r="A27" s="10" t="s">
        <v>18</v>
      </c>
      <c r="B27" s="7"/>
      <c r="C27" s="11">
        <f t="shared" ref="C27:H27" si="18">(C26/B26)-1</f>
        <v>0.36165048543689315</v>
      </c>
      <c r="D27" s="11">
        <f t="shared" si="18"/>
        <v>0.53297682709447414</v>
      </c>
      <c r="E27" s="11">
        <f t="shared" si="18"/>
        <v>0.13604651162790704</v>
      </c>
      <c r="F27" s="11">
        <f t="shared" si="18"/>
        <v>0.15250767656090081</v>
      </c>
      <c r="G27" s="11">
        <f t="shared" si="18"/>
        <v>-4.4404973357015987E-2</v>
      </c>
      <c r="H27" s="11">
        <f t="shared" si="18"/>
        <v>-9.1078066914498157E-2</v>
      </c>
      <c r="I27" s="12">
        <v>-2.9000000000000001E-2</v>
      </c>
      <c r="J27" s="12">
        <v>8.8700000000000001E-2</v>
      </c>
      <c r="K27" s="12">
        <v>9.5399999999999999E-2</v>
      </c>
      <c r="L27" s="12">
        <v>0.1118</v>
      </c>
      <c r="M27" s="12">
        <v>0.1052</v>
      </c>
      <c r="N27" s="12"/>
      <c r="O27" s="12"/>
      <c r="P27" s="12"/>
      <c r="Q27" s="12"/>
    </row>
    <row r="28" spans="1:17" ht="12" x14ac:dyDescent="0.15">
      <c r="A28" s="10" t="s">
        <v>20</v>
      </c>
      <c r="B28" s="11">
        <f t="shared" ref="B28:M28" si="19">B26/B24</f>
        <v>0.14226519337016574</v>
      </c>
      <c r="C28" s="11">
        <f t="shared" si="19"/>
        <v>0.15407854984894259</v>
      </c>
      <c r="D28" s="11">
        <f t="shared" si="19"/>
        <v>0.15512265512265513</v>
      </c>
      <c r="E28" s="11">
        <f t="shared" si="19"/>
        <v>0.14693938938186193</v>
      </c>
      <c r="F28" s="11">
        <f t="shared" si="19"/>
        <v>0.16173513358230393</v>
      </c>
      <c r="G28" s="11">
        <f t="shared" si="19"/>
        <v>0.15851502651738361</v>
      </c>
      <c r="H28" s="11">
        <f t="shared" si="19"/>
        <v>0.14555737460931686</v>
      </c>
      <c r="I28" s="11">
        <f t="shared" si="19"/>
        <v>0.13879623956166814</v>
      </c>
      <c r="J28" s="11">
        <f t="shared" si="19"/>
        <v>0.13893661825191994</v>
      </c>
      <c r="K28" s="11">
        <f t="shared" si="19"/>
        <v>0.13787930026558531</v>
      </c>
      <c r="L28" s="11">
        <f t="shared" si="19"/>
        <v>0.13781732089838866</v>
      </c>
      <c r="M28" s="11">
        <f t="shared" si="19"/>
        <v>0.1377923856132614</v>
      </c>
      <c r="N28" s="11"/>
      <c r="O28" s="11"/>
      <c r="P28" s="11"/>
      <c r="Q28" s="11"/>
    </row>
    <row r="29" spans="1:17" ht="12" x14ac:dyDescent="0.15">
      <c r="A29" s="13" t="s">
        <v>21</v>
      </c>
      <c r="B29" s="7">
        <v>13</v>
      </c>
      <c r="C29" s="15">
        <v>14</v>
      </c>
      <c r="D29" s="15">
        <v>15</v>
      </c>
      <c r="E29" s="15">
        <v>10</v>
      </c>
      <c r="F29" s="15">
        <v>12</v>
      </c>
      <c r="G29" s="15">
        <v>14</v>
      </c>
      <c r="H29" s="15">
        <v>14</v>
      </c>
      <c r="I29" s="16">
        <v>14</v>
      </c>
      <c r="J29" s="16">
        <v>14</v>
      </c>
      <c r="K29" s="16">
        <v>14</v>
      </c>
      <c r="L29" s="16">
        <v>14</v>
      </c>
      <c r="M29" s="16">
        <v>14</v>
      </c>
      <c r="N29" s="16"/>
      <c r="O29" s="16"/>
      <c r="P29" s="16"/>
      <c r="Q29" s="16"/>
    </row>
    <row r="30" spans="1:17" ht="12" x14ac:dyDescent="0.15">
      <c r="A30" s="13" t="s">
        <v>22</v>
      </c>
      <c r="B30" s="22">
        <v>2746</v>
      </c>
      <c r="C30" s="18">
        <v>3853</v>
      </c>
      <c r="D30" s="18">
        <v>4763</v>
      </c>
      <c r="E30" s="18">
        <v>6459</v>
      </c>
      <c r="F30" s="18">
        <v>6732</v>
      </c>
      <c r="G30" s="18">
        <v>6445</v>
      </c>
      <c r="H30" s="18">
        <v>6690</v>
      </c>
      <c r="I30" s="8">
        <f>H30*(1+I31)</f>
        <v>6827.1449999999995</v>
      </c>
      <c r="J30" s="8">
        <f t="shared" ref="J30:M30" si="20">I30*(1+J31)</f>
        <v>7341.911732999999</v>
      </c>
      <c r="K30" s="8">
        <f t="shared" si="20"/>
        <v>8011.4940830495989</v>
      </c>
      <c r="L30" s="8">
        <f t="shared" si="20"/>
        <v>8890.3549839601383</v>
      </c>
      <c r="M30" s="8">
        <f t="shared" si="20"/>
        <v>9848.7352512310426</v>
      </c>
      <c r="N30" s="16"/>
      <c r="O30" s="16"/>
      <c r="P30" s="16"/>
      <c r="Q30" s="16"/>
    </row>
    <row r="31" spans="1:17" ht="12" x14ac:dyDescent="0.15">
      <c r="A31" s="10" t="s">
        <v>18</v>
      </c>
      <c r="B31" s="11"/>
      <c r="C31" s="11">
        <f t="shared" ref="C31" si="21">(C30/B30)-1</f>
        <v>0.40313182811361981</v>
      </c>
      <c r="D31" s="11">
        <f>(D30/C30)-1</f>
        <v>0.23617960031144558</v>
      </c>
      <c r="E31" s="11">
        <f>(E30/D30)-1</f>
        <v>0.35607810203653156</v>
      </c>
      <c r="F31" s="11">
        <f>(F30/E30)-1</f>
        <v>4.2266604737575486E-2</v>
      </c>
      <c r="G31" s="11">
        <f>(G30/F30)-1</f>
        <v>-4.2632204396910289E-2</v>
      </c>
      <c r="H31" s="11">
        <f>(H30/G30)-1</f>
        <v>3.8013964313421189E-2</v>
      </c>
      <c r="I31" s="12">
        <v>2.0500000000000001E-2</v>
      </c>
      <c r="J31" s="12">
        <v>7.5399999999999995E-2</v>
      </c>
      <c r="K31" s="12">
        <v>9.1200000000000003E-2</v>
      </c>
      <c r="L31" s="12">
        <v>0.10970000000000001</v>
      </c>
      <c r="M31" s="12">
        <v>0.10780000000000001</v>
      </c>
      <c r="N31" s="12"/>
      <c r="O31" s="12"/>
      <c r="P31" s="12"/>
      <c r="Q31" s="12"/>
    </row>
    <row r="32" spans="1:17" ht="12" x14ac:dyDescent="0.15">
      <c r="A32" s="10" t="s">
        <v>23</v>
      </c>
      <c r="B32" s="11">
        <f t="shared" ref="B32:C32" si="22">B26/B30</f>
        <v>0.15003641660597233</v>
      </c>
      <c r="C32" s="11">
        <f t="shared" si="22"/>
        <v>0.14560083052167141</v>
      </c>
      <c r="D32" s="11">
        <f>D26/D30</f>
        <v>0.18055847155154314</v>
      </c>
      <c r="E32" s="11">
        <f t="shared" ref="E32:M32" si="23">E26/E30</f>
        <v>0.1512618052330082</v>
      </c>
      <c r="F32" s="11">
        <f t="shared" si="23"/>
        <v>0.16726084373143196</v>
      </c>
      <c r="G32" s="11">
        <f t="shared" si="23"/>
        <v>0.16695112490302561</v>
      </c>
      <c r="H32" s="11">
        <f t="shared" si="23"/>
        <v>0.14618834080717488</v>
      </c>
      <c r="I32" s="11">
        <f t="shared" si="23"/>
        <v>0.13909738258085921</v>
      </c>
      <c r="J32" s="11">
        <f t="shared" si="23"/>
        <v>0.14081766823115252</v>
      </c>
      <c r="K32" s="11">
        <f t="shared" si="23"/>
        <v>0.14135967171957889</v>
      </c>
      <c r="L32" s="11">
        <f t="shared" si="23"/>
        <v>0.14162718123621501</v>
      </c>
      <c r="M32" s="11">
        <f t="shared" si="23"/>
        <v>0.14129478308563354</v>
      </c>
      <c r="N32" s="12"/>
      <c r="O32" s="12"/>
      <c r="P32" s="12"/>
      <c r="Q32" s="12"/>
    </row>
    <row r="33" spans="1:17" ht="12" x14ac:dyDescent="0.15">
      <c r="A33" s="13" t="s">
        <v>24</v>
      </c>
      <c r="B33" s="7">
        <f t="shared" ref="B33:M33" si="24">B26*B29</f>
        <v>5356</v>
      </c>
      <c r="C33" s="7">
        <f t="shared" si="24"/>
        <v>7854</v>
      </c>
      <c r="D33" s="7">
        <f t="shared" si="24"/>
        <v>12900</v>
      </c>
      <c r="E33" s="7">
        <f t="shared" si="24"/>
        <v>9770</v>
      </c>
      <c r="F33" s="7">
        <f t="shared" si="24"/>
        <v>13512</v>
      </c>
      <c r="G33" s="7">
        <f t="shared" si="24"/>
        <v>15064</v>
      </c>
      <c r="H33" s="7">
        <f t="shared" si="24"/>
        <v>13692</v>
      </c>
      <c r="I33" s="7">
        <f t="shared" si="24"/>
        <v>13294.931999999999</v>
      </c>
      <c r="J33" s="7">
        <f t="shared" si="24"/>
        <v>14474.192468399999</v>
      </c>
      <c r="K33" s="7">
        <f t="shared" si="24"/>
        <v>15855.030429885359</v>
      </c>
      <c r="L33" s="7">
        <f t="shared" si="24"/>
        <v>17627.622831946537</v>
      </c>
      <c r="M33" s="7">
        <f t="shared" si="24"/>
        <v>19482.048753867315</v>
      </c>
      <c r="N33" s="7"/>
      <c r="O33" s="9">
        <f>(H33/C33)^(1/5)-1</f>
        <v>0.11757119304863251</v>
      </c>
      <c r="P33" s="9">
        <f>(M33/H33)^(1/5)-1</f>
        <v>7.3083574061963086E-2</v>
      </c>
      <c r="Q33" s="9">
        <f>(M33/I33)^(1/4)-1</f>
        <v>0.10023923081686714</v>
      </c>
    </row>
    <row r="34" spans="1:17" x14ac:dyDescent="0.15">
      <c r="A34" s="23"/>
      <c r="B34" s="7"/>
      <c r="C34" s="7"/>
      <c r="D34" s="7"/>
      <c r="E34" s="7"/>
      <c r="F34" s="7"/>
      <c r="G34" s="7"/>
    </row>
    <row r="35" spans="1:17" ht="12" x14ac:dyDescent="0.15">
      <c r="A35" s="5" t="s">
        <v>27</v>
      </c>
      <c r="B35" s="6" t="s">
        <v>17</v>
      </c>
      <c r="C35" s="6" t="s">
        <v>17</v>
      </c>
      <c r="D35" s="6" t="s">
        <v>17</v>
      </c>
      <c r="E35" s="6" t="s">
        <v>17</v>
      </c>
      <c r="F35" s="7">
        <v>2497</v>
      </c>
      <c r="G35" s="7">
        <v>2538</v>
      </c>
      <c r="H35" s="7">
        <v>3436</v>
      </c>
      <c r="I35" s="8">
        <f>H35*(1+I36)</f>
        <v>3455.2416000000003</v>
      </c>
      <c r="J35" s="8">
        <f t="shared" ref="J35:M35" si="25">I35*(1+J36)</f>
        <v>3770.7051580800003</v>
      </c>
      <c r="K35" s="8">
        <f t="shared" si="25"/>
        <v>4160.5960714254725</v>
      </c>
      <c r="L35" s="8">
        <f t="shared" si="25"/>
        <v>4511.3343202466403</v>
      </c>
      <c r="M35" s="8">
        <f t="shared" si="25"/>
        <v>5003.0697611535243</v>
      </c>
      <c r="N35" s="8"/>
      <c r="O35" s="24" t="s">
        <v>17</v>
      </c>
      <c r="P35" s="9">
        <f>(M35/H35)^(1/5)-1</f>
        <v>7.8044481292715018E-2</v>
      </c>
      <c r="Q35" s="9">
        <f>(M35/I35)^(1/4)-1</f>
        <v>9.6956825311486083E-2</v>
      </c>
    </row>
    <row r="36" spans="1:17" ht="12" x14ac:dyDescent="0.15">
      <c r="A36" s="10" t="s">
        <v>18</v>
      </c>
      <c r="B36" s="6"/>
      <c r="C36" s="6"/>
      <c r="D36" s="6"/>
      <c r="E36" s="6"/>
      <c r="F36" s="7"/>
      <c r="G36" s="11">
        <f>(G35/F35)-1</f>
        <v>1.6419703644373174E-2</v>
      </c>
      <c r="H36" s="11">
        <f>(H35/G35)-1</f>
        <v>0.35382190701339633</v>
      </c>
      <c r="I36" s="12">
        <v>5.5999999999999999E-3</v>
      </c>
      <c r="J36" s="12">
        <v>9.1300000000000006E-2</v>
      </c>
      <c r="K36" s="12">
        <v>0.10340000000000001</v>
      </c>
      <c r="L36" s="12">
        <v>8.43E-2</v>
      </c>
      <c r="M36" s="12">
        <v>0.109</v>
      </c>
      <c r="N36" s="12"/>
      <c r="O36" s="12"/>
      <c r="P36" s="12"/>
      <c r="Q36" s="12"/>
    </row>
    <row r="37" spans="1:17" ht="12" x14ac:dyDescent="0.15">
      <c r="A37" s="13" t="s">
        <v>19</v>
      </c>
      <c r="B37" s="6" t="s">
        <v>17</v>
      </c>
      <c r="C37" s="6" t="s">
        <v>17</v>
      </c>
      <c r="D37" s="6" t="s">
        <v>17</v>
      </c>
      <c r="E37" s="6" t="s">
        <v>17</v>
      </c>
      <c r="F37" s="7">
        <v>231</v>
      </c>
      <c r="G37" s="7">
        <v>270</v>
      </c>
      <c r="H37" s="7">
        <v>420</v>
      </c>
      <c r="I37" s="8">
        <f>H37*(1+I38)</f>
        <v>413.74199999999996</v>
      </c>
      <c r="J37" s="8">
        <f t="shared" ref="J37:M37" si="26">I37*(1+J38)</f>
        <v>449.07556679999993</v>
      </c>
      <c r="K37" s="8">
        <f t="shared" si="26"/>
        <v>497.48591290103997</v>
      </c>
      <c r="L37" s="8">
        <f t="shared" si="26"/>
        <v>542.85662815761475</v>
      </c>
      <c r="M37" s="8">
        <f t="shared" si="26"/>
        <v>600.67085905640079</v>
      </c>
      <c r="N37" s="8"/>
      <c r="O37" s="24" t="s">
        <v>17</v>
      </c>
      <c r="P37" s="9">
        <f>(M37/H37)^(1/5)-1</f>
        <v>7.418097078289243E-2</v>
      </c>
      <c r="Q37" s="9">
        <f>(M37/I37)^(1/4)-1</f>
        <v>9.7682494853004176E-2</v>
      </c>
    </row>
    <row r="38" spans="1:17" ht="12" x14ac:dyDescent="0.15">
      <c r="A38" s="10" t="s">
        <v>18</v>
      </c>
      <c r="B38" s="6"/>
      <c r="C38" s="6"/>
      <c r="D38" s="6"/>
      <c r="E38" s="6"/>
      <c r="F38" s="7"/>
      <c r="G38" s="11">
        <f>(G37/F37)-1</f>
        <v>0.16883116883116878</v>
      </c>
      <c r="H38" s="11">
        <f>(H37/G37)-1</f>
        <v>0.55555555555555558</v>
      </c>
      <c r="I38" s="12">
        <v>-1.49E-2</v>
      </c>
      <c r="J38" s="12">
        <v>8.5400000000000004E-2</v>
      </c>
      <c r="K38" s="12">
        <v>0.10780000000000001</v>
      </c>
      <c r="L38" s="12">
        <v>9.1200000000000003E-2</v>
      </c>
      <c r="M38" s="12">
        <v>0.1065</v>
      </c>
      <c r="N38" s="12"/>
      <c r="O38" s="12"/>
      <c r="P38" s="12"/>
      <c r="Q38" s="12"/>
    </row>
    <row r="39" spans="1:17" ht="12" x14ac:dyDescent="0.15">
      <c r="A39" s="10" t="s">
        <v>20</v>
      </c>
      <c r="B39" s="6"/>
      <c r="C39" s="6"/>
      <c r="D39" s="6"/>
      <c r="E39" s="6"/>
      <c r="F39" s="11">
        <f>F37/F35</f>
        <v>9.2511013215859028E-2</v>
      </c>
      <c r="G39" s="11">
        <f>G37/G35</f>
        <v>0.10638297872340426</v>
      </c>
      <c r="H39" s="11">
        <f>H37/H35</f>
        <v>0.12223515715948778</v>
      </c>
      <c r="I39" s="11">
        <f t="shared" ref="I39:M39" si="27">I37/I35</f>
        <v>0.11974329088883391</v>
      </c>
      <c r="J39" s="11">
        <f t="shared" si="27"/>
        <v>0.1190959112349861</v>
      </c>
      <c r="K39" s="11">
        <f t="shared" si="27"/>
        <v>0.11957082695859851</v>
      </c>
      <c r="L39" s="11">
        <f t="shared" si="27"/>
        <v>0.1203317221960921</v>
      </c>
      <c r="M39" s="11">
        <f t="shared" si="27"/>
        <v>0.12006046042378353</v>
      </c>
      <c r="N39" s="11"/>
      <c r="O39" s="11"/>
      <c r="P39" s="11"/>
      <c r="Q39" s="11"/>
    </row>
    <row r="40" spans="1:17" ht="12" x14ac:dyDescent="0.15">
      <c r="A40" s="13" t="s">
        <v>21</v>
      </c>
      <c r="B40" s="6" t="s">
        <v>17</v>
      </c>
      <c r="C40" s="6" t="s">
        <v>17</v>
      </c>
      <c r="D40" s="6" t="s">
        <v>17</v>
      </c>
      <c r="E40" s="6" t="s">
        <v>17</v>
      </c>
      <c r="F40" s="15">
        <v>14</v>
      </c>
      <c r="G40" s="15">
        <v>15</v>
      </c>
      <c r="H40" s="15">
        <v>14</v>
      </c>
      <c r="I40" s="15">
        <v>14</v>
      </c>
      <c r="J40" s="15">
        <v>14</v>
      </c>
      <c r="K40" s="15">
        <v>14</v>
      </c>
      <c r="L40" s="15">
        <v>14</v>
      </c>
      <c r="M40" s="15">
        <v>14</v>
      </c>
      <c r="N40" s="16"/>
      <c r="O40" s="16"/>
      <c r="P40" s="16"/>
      <c r="Q40" s="16"/>
    </row>
    <row r="41" spans="1:17" ht="12" x14ac:dyDescent="0.15">
      <c r="A41" s="13" t="s">
        <v>22</v>
      </c>
      <c r="B41" s="17"/>
      <c r="C41" s="18"/>
      <c r="D41" s="18"/>
      <c r="E41" s="18"/>
      <c r="F41" s="18">
        <v>2240</v>
      </c>
      <c r="G41" s="18">
        <v>2248</v>
      </c>
      <c r="H41" s="18">
        <v>3898</v>
      </c>
      <c r="I41" s="8">
        <f>H41*(1+I42)</f>
        <v>4034.0401999999999</v>
      </c>
      <c r="J41" s="8">
        <f t="shared" ref="J41:M41" si="28">I41*(1+J42)</f>
        <v>4674.2423797399997</v>
      </c>
      <c r="K41" s="8">
        <f t="shared" si="28"/>
        <v>5080.4340425394057</v>
      </c>
      <c r="L41" s="8">
        <f t="shared" si="28"/>
        <v>5496.5215906233834</v>
      </c>
      <c r="M41" s="8">
        <f t="shared" si="28"/>
        <v>5997.8043596882353</v>
      </c>
      <c r="N41" s="16"/>
      <c r="O41" s="16"/>
      <c r="P41" s="16"/>
      <c r="Q41" s="16"/>
    </row>
    <row r="42" spans="1:17" ht="12" x14ac:dyDescent="0.15">
      <c r="A42" s="10" t="s">
        <v>18</v>
      </c>
      <c r="B42" s="19"/>
      <c r="C42" s="19"/>
      <c r="D42" s="11"/>
      <c r="E42" s="11"/>
      <c r="F42" s="11"/>
      <c r="G42" s="11">
        <f>(G41/F41)-1</f>
        <v>3.5714285714285587E-3</v>
      </c>
      <c r="H42" s="11">
        <f>(H41/G41)-1</f>
        <v>0.73398576512455516</v>
      </c>
      <c r="I42" s="12">
        <v>3.49E-2</v>
      </c>
      <c r="J42" s="12">
        <v>0.15870000000000001</v>
      </c>
      <c r="K42" s="12">
        <v>8.6900000000000005E-2</v>
      </c>
      <c r="L42" s="12">
        <v>8.1900000000000001E-2</v>
      </c>
      <c r="M42" s="12">
        <v>9.1200000000000003E-2</v>
      </c>
      <c r="N42" s="12"/>
      <c r="O42" s="12"/>
      <c r="P42" s="12"/>
      <c r="Q42" s="12"/>
    </row>
    <row r="43" spans="1:17" ht="12" x14ac:dyDescent="0.15">
      <c r="A43" s="10" t="s">
        <v>23</v>
      </c>
      <c r="B43" s="19"/>
      <c r="C43" s="11"/>
      <c r="D43" s="11"/>
      <c r="E43" s="11"/>
      <c r="F43" s="11">
        <f t="shared" ref="F43:M43" si="29">F37/F41</f>
        <v>0.10312499999999999</v>
      </c>
      <c r="G43" s="11">
        <f t="shared" si="29"/>
        <v>0.1201067615658363</v>
      </c>
      <c r="H43" s="11">
        <f t="shared" si="29"/>
        <v>0.10774756285274499</v>
      </c>
      <c r="I43" s="11">
        <f t="shared" si="29"/>
        <v>0.10256268641051221</v>
      </c>
      <c r="J43" s="11">
        <f t="shared" si="29"/>
        <v>9.607451439541724E-2</v>
      </c>
      <c r="K43" s="11">
        <f t="shared" si="29"/>
        <v>9.7921931223887412E-2</v>
      </c>
      <c r="L43" s="11">
        <f t="shared" si="29"/>
        <v>9.8763667022373533E-2</v>
      </c>
      <c r="M43" s="11">
        <f t="shared" si="29"/>
        <v>0.10014845817472172</v>
      </c>
      <c r="N43" s="12"/>
      <c r="O43" s="12"/>
      <c r="P43" s="12"/>
      <c r="Q43" s="12"/>
    </row>
    <row r="44" spans="1:17" ht="12" x14ac:dyDescent="0.15">
      <c r="A44" s="13" t="s">
        <v>24</v>
      </c>
      <c r="B44" s="6" t="s">
        <v>17</v>
      </c>
      <c r="C44" s="6" t="s">
        <v>17</v>
      </c>
      <c r="D44" s="6" t="s">
        <v>17</v>
      </c>
      <c r="E44" s="6" t="s">
        <v>17</v>
      </c>
      <c r="F44" s="7">
        <f t="shared" ref="F44:M44" si="30">F37*F40</f>
        <v>3234</v>
      </c>
      <c r="G44" s="7">
        <f t="shared" si="30"/>
        <v>4050</v>
      </c>
      <c r="H44" s="7">
        <f t="shared" si="30"/>
        <v>5880</v>
      </c>
      <c r="I44" s="7">
        <f t="shared" si="30"/>
        <v>5792.387999999999</v>
      </c>
      <c r="J44" s="7">
        <f t="shared" si="30"/>
        <v>6287.0579351999986</v>
      </c>
      <c r="K44" s="7">
        <f t="shared" si="30"/>
        <v>6964.8027806145592</v>
      </c>
      <c r="L44" s="7">
        <f t="shared" si="30"/>
        <v>7599.992794206606</v>
      </c>
      <c r="M44" s="7">
        <f t="shared" si="30"/>
        <v>8409.3920267896101</v>
      </c>
      <c r="N44" s="7"/>
      <c r="O44" s="24" t="s">
        <v>17</v>
      </c>
      <c r="P44" s="9">
        <f>(M44/H44)^(1/5)-1</f>
        <v>7.418097078289243E-2</v>
      </c>
      <c r="Q44" s="9">
        <f>(M44/I44)^(1/4)-1</f>
        <v>9.7682494853004176E-2</v>
      </c>
    </row>
    <row r="45" spans="1:17" x14ac:dyDescent="0.15">
      <c r="A45" s="23"/>
      <c r="B45" s="6"/>
      <c r="C45" s="6"/>
      <c r="D45" s="6"/>
      <c r="E45" s="6"/>
      <c r="F45" s="7"/>
      <c r="G45" s="7"/>
    </row>
    <row r="46" spans="1:17" ht="12" x14ac:dyDescent="0.15">
      <c r="A46" s="5" t="s">
        <v>28</v>
      </c>
      <c r="B46" s="6" t="s">
        <v>17</v>
      </c>
      <c r="C46" s="6" t="s">
        <v>17</v>
      </c>
      <c r="D46" s="6" t="s">
        <v>17</v>
      </c>
      <c r="E46" s="6" t="s">
        <v>17</v>
      </c>
      <c r="F46" s="7">
        <v>1839</v>
      </c>
      <c r="G46" s="7">
        <v>1906</v>
      </c>
      <c r="H46" s="7">
        <v>1967</v>
      </c>
      <c r="I46" s="8">
        <f>H46*(1+I47)</f>
        <v>1993.3578000000002</v>
      </c>
      <c r="J46" s="8">
        <f t="shared" ref="J46:M46" si="31">I46*(1+J47)</f>
        <v>2090.4343248600003</v>
      </c>
      <c r="K46" s="8">
        <f t="shared" si="31"/>
        <v>2227.1487297058443</v>
      </c>
      <c r="L46" s="8">
        <f t="shared" si="31"/>
        <v>2340.5106000478718</v>
      </c>
      <c r="M46" s="8">
        <f t="shared" si="31"/>
        <v>2477.8985722706816</v>
      </c>
      <c r="N46" s="8"/>
      <c r="O46" s="24" t="s">
        <v>17</v>
      </c>
      <c r="P46" s="9">
        <f>(M46/H46)^(1/5)-1</f>
        <v>4.7263176048337963E-2</v>
      </c>
      <c r="Q46" s="9">
        <f>(M46/I46)^(1/4)-1</f>
        <v>5.5904319245463574E-2</v>
      </c>
    </row>
    <row r="47" spans="1:17" ht="12" x14ac:dyDescent="0.15">
      <c r="A47" s="10" t="s">
        <v>18</v>
      </c>
      <c r="B47" s="6"/>
      <c r="C47" s="6"/>
      <c r="D47" s="6"/>
      <c r="E47" s="6"/>
      <c r="F47" s="7"/>
      <c r="G47" s="11">
        <f>(G46/F46)-1</f>
        <v>3.6432843936922144E-2</v>
      </c>
      <c r="H47" s="11">
        <f>(H46/G46)-1</f>
        <v>3.2004197271773283E-2</v>
      </c>
      <c r="I47" s="12">
        <v>1.34E-2</v>
      </c>
      <c r="J47" s="12">
        <v>4.87E-2</v>
      </c>
      <c r="K47" s="12">
        <v>6.54E-2</v>
      </c>
      <c r="L47" s="12">
        <v>5.0900000000000001E-2</v>
      </c>
      <c r="M47" s="12">
        <v>5.8700000000000002E-2</v>
      </c>
      <c r="N47" s="12"/>
      <c r="O47" s="12"/>
      <c r="P47" s="12"/>
      <c r="Q47" s="12"/>
    </row>
    <row r="48" spans="1:17" ht="12" x14ac:dyDescent="0.15">
      <c r="A48" s="13" t="s">
        <v>19</v>
      </c>
      <c r="B48" s="6" t="s">
        <v>17</v>
      </c>
      <c r="C48" s="6" t="s">
        <v>17</v>
      </c>
      <c r="D48" s="6" t="s">
        <v>17</v>
      </c>
      <c r="E48" s="6" t="s">
        <v>17</v>
      </c>
      <c r="F48" s="7">
        <v>149</v>
      </c>
      <c r="G48" s="7">
        <v>146</v>
      </c>
      <c r="H48" s="7">
        <v>142</v>
      </c>
      <c r="I48" s="8">
        <f>H48*(1+I49)</f>
        <v>147.6516</v>
      </c>
      <c r="J48" s="8">
        <f t="shared" ref="J48:M48" si="32">I48*(1+J49)</f>
        <v>155.00464968</v>
      </c>
      <c r="K48" s="8">
        <f t="shared" si="32"/>
        <v>164.49093424041598</v>
      </c>
      <c r="L48" s="8">
        <f t="shared" si="32"/>
        <v>172.73193004586082</v>
      </c>
      <c r="M48" s="8">
        <f t="shared" si="32"/>
        <v>183.0612994626033</v>
      </c>
      <c r="N48" s="8"/>
      <c r="O48" s="24" t="s">
        <v>17</v>
      </c>
      <c r="P48" s="9">
        <f>(M48/H48)^(1/5)-1</f>
        <v>5.211118908635215E-2</v>
      </c>
      <c r="Q48" s="9">
        <f>(M48/I48)^(1/4)-1</f>
        <v>5.5211694909712783E-2</v>
      </c>
    </row>
    <row r="49" spans="1:17" ht="12" x14ac:dyDescent="0.15">
      <c r="A49" s="10" t="s">
        <v>18</v>
      </c>
      <c r="B49" s="6"/>
      <c r="C49" s="6"/>
      <c r="D49" s="6"/>
      <c r="E49" s="6"/>
      <c r="F49" s="7"/>
      <c r="G49" s="11">
        <f>(G48/F48)-1</f>
        <v>-2.0134228187919434E-2</v>
      </c>
      <c r="H49" s="11">
        <f>(H48/G48)-1</f>
        <v>-2.7397260273972601E-2</v>
      </c>
      <c r="I49" s="12">
        <v>3.9800000000000002E-2</v>
      </c>
      <c r="J49" s="12">
        <v>4.9799999999999997E-2</v>
      </c>
      <c r="K49" s="12">
        <v>6.1199999999999997E-2</v>
      </c>
      <c r="L49" s="12">
        <v>5.0099999999999999E-2</v>
      </c>
      <c r="M49" s="12">
        <v>5.9799999999999999E-2</v>
      </c>
      <c r="N49" s="12"/>
      <c r="O49" s="12"/>
      <c r="P49" s="12"/>
      <c r="Q49" s="12"/>
    </row>
    <row r="50" spans="1:17" ht="12" x14ac:dyDescent="0.15">
      <c r="A50" s="10" t="s">
        <v>20</v>
      </c>
      <c r="B50" s="6"/>
      <c r="C50" s="6"/>
      <c r="D50" s="6"/>
      <c r="E50" s="6"/>
      <c r="F50" s="11">
        <f>F48/F46</f>
        <v>8.1022294725394239E-2</v>
      </c>
      <c r="G50" s="11">
        <f>G48/G46</f>
        <v>7.6600209863588661E-2</v>
      </c>
      <c r="H50" s="11">
        <f>H48/H46</f>
        <v>7.2191154041687855E-2</v>
      </c>
      <c r="I50" s="11">
        <f t="shared" ref="I50:M50" si="33">I48/I46</f>
        <v>7.4071799854496759E-2</v>
      </c>
      <c r="J50" s="11">
        <f t="shared" si="33"/>
        <v>7.4149495077000763E-2</v>
      </c>
      <c r="K50" s="11">
        <f t="shared" si="33"/>
        <v>7.3857184321112448E-2</v>
      </c>
      <c r="L50" s="11">
        <f t="shared" si="33"/>
        <v>7.3800960372633145E-2</v>
      </c>
      <c r="M50" s="11">
        <f t="shared" si="33"/>
        <v>7.3877640316347054E-2</v>
      </c>
      <c r="N50" s="11"/>
      <c r="O50" s="11"/>
      <c r="P50" s="11"/>
      <c r="Q50" s="11"/>
    </row>
    <row r="51" spans="1:17" ht="12" x14ac:dyDescent="0.15">
      <c r="A51" s="13" t="s">
        <v>21</v>
      </c>
      <c r="B51" s="6" t="s">
        <v>17</v>
      </c>
      <c r="C51" s="6" t="s">
        <v>17</v>
      </c>
      <c r="D51" s="6" t="s">
        <v>17</v>
      </c>
      <c r="E51" s="6" t="s">
        <v>17</v>
      </c>
      <c r="F51" s="15">
        <v>14</v>
      </c>
      <c r="G51" s="15">
        <v>14</v>
      </c>
      <c r="H51" s="15">
        <v>13</v>
      </c>
      <c r="I51" s="15">
        <v>12</v>
      </c>
      <c r="J51" s="15">
        <v>12</v>
      </c>
      <c r="K51" s="16">
        <v>12</v>
      </c>
      <c r="L51" s="16">
        <v>12</v>
      </c>
      <c r="M51" s="16">
        <v>12</v>
      </c>
      <c r="N51" s="16"/>
      <c r="O51" s="16"/>
      <c r="P51" s="16"/>
      <c r="Q51" s="16"/>
    </row>
    <row r="52" spans="1:17" ht="12" x14ac:dyDescent="0.15">
      <c r="A52" s="13" t="s">
        <v>22</v>
      </c>
      <c r="B52" s="17"/>
      <c r="C52" s="18"/>
      <c r="D52" s="18"/>
      <c r="E52" s="18"/>
      <c r="F52" s="18">
        <v>1476</v>
      </c>
      <c r="G52" s="18">
        <v>1459</v>
      </c>
      <c r="H52" s="18">
        <v>1504</v>
      </c>
      <c r="I52" s="8">
        <f>H52*(1+I53)</f>
        <v>1659.2128</v>
      </c>
      <c r="J52" s="8">
        <f t="shared" ref="J52:M52" si="34">I52*(1+J53)</f>
        <v>1735.3706675200001</v>
      </c>
      <c r="K52" s="8">
        <f t="shared" si="34"/>
        <v>1837.063388636672</v>
      </c>
      <c r="L52" s="8">
        <f t="shared" si="34"/>
        <v>1931.6721531514609</v>
      </c>
      <c r="M52" s="8">
        <f t="shared" si="34"/>
        <v>2031.9259379000218</v>
      </c>
      <c r="N52" s="16"/>
      <c r="O52" s="24"/>
      <c r="P52" s="9"/>
      <c r="Q52" s="9"/>
    </row>
    <row r="53" spans="1:17" ht="12" x14ac:dyDescent="0.15">
      <c r="A53" s="10" t="s">
        <v>18</v>
      </c>
      <c r="B53" s="19"/>
      <c r="C53" s="19"/>
      <c r="D53" s="11"/>
      <c r="E53" s="11"/>
      <c r="F53" s="11"/>
      <c r="G53" s="11">
        <f>(G52/F52)-1</f>
        <v>-1.1517615176151796E-2</v>
      </c>
      <c r="H53" s="11">
        <f>(H52/G52)-1</f>
        <v>3.0843043180260432E-2</v>
      </c>
      <c r="I53" s="12">
        <v>0.1032</v>
      </c>
      <c r="J53" s="12">
        <v>4.5900000000000003E-2</v>
      </c>
      <c r="K53" s="12">
        <v>5.8599999999999999E-2</v>
      </c>
      <c r="L53" s="12">
        <v>5.1499999999999997E-2</v>
      </c>
      <c r="M53" s="12">
        <v>5.1900000000000002E-2</v>
      </c>
      <c r="N53" s="12"/>
      <c r="O53" s="12"/>
      <c r="P53" s="12"/>
      <c r="Q53" s="12"/>
    </row>
    <row r="54" spans="1:17" ht="12" x14ac:dyDescent="0.15">
      <c r="A54" s="10" t="s">
        <v>23</v>
      </c>
      <c r="B54" s="19"/>
      <c r="C54" s="11"/>
      <c r="D54" s="11"/>
      <c r="E54" s="11"/>
      <c r="F54" s="11">
        <f t="shared" ref="F54:M54" si="35">F48/F52</f>
        <v>0.10094850948509485</v>
      </c>
      <c r="G54" s="11">
        <f t="shared" si="35"/>
        <v>0.10006854009595613</v>
      </c>
      <c r="H54" s="11">
        <f t="shared" si="35"/>
        <v>9.4414893617021281E-2</v>
      </c>
      <c r="I54" s="11">
        <f t="shared" si="35"/>
        <v>8.8988947047660194E-2</v>
      </c>
      <c r="J54" s="11">
        <f t="shared" si="35"/>
        <v>8.9320773124231437E-2</v>
      </c>
      <c r="K54" s="11">
        <f t="shared" si="35"/>
        <v>8.9540151558128098E-2</v>
      </c>
      <c r="L54" s="11">
        <f t="shared" si="35"/>
        <v>8.9420934998754448E-2</v>
      </c>
      <c r="M54" s="11">
        <f t="shared" si="35"/>
        <v>9.0092505857667038E-2</v>
      </c>
      <c r="N54" s="12"/>
      <c r="O54" s="12"/>
      <c r="P54" s="12"/>
      <c r="Q54" s="12"/>
    </row>
    <row r="55" spans="1:17" ht="12" x14ac:dyDescent="0.15">
      <c r="A55" s="13" t="s">
        <v>24</v>
      </c>
      <c r="B55" s="6" t="s">
        <v>17</v>
      </c>
      <c r="C55" s="6" t="s">
        <v>17</v>
      </c>
      <c r="D55" s="6" t="s">
        <v>17</v>
      </c>
      <c r="E55" s="6" t="s">
        <v>17</v>
      </c>
      <c r="F55" s="7">
        <f t="shared" ref="F55:M55" si="36">F48*F51</f>
        <v>2086</v>
      </c>
      <c r="G55" s="7">
        <f t="shared" si="36"/>
        <v>2044</v>
      </c>
      <c r="H55" s="7">
        <f t="shared" si="36"/>
        <v>1846</v>
      </c>
      <c r="I55" s="7">
        <f t="shared" si="36"/>
        <v>1771.8191999999999</v>
      </c>
      <c r="J55" s="7">
        <f t="shared" si="36"/>
        <v>1860.05579616</v>
      </c>
      <c r="K55" s="7">
        <f t="shared" si="36"/>
        <v>1973.8912108849918</v>
      </c>
      <c r="L55" s="7">
        <f t="shared" si="36"/>
        <v>2072.7831605503297</v>
      </c>
      <c r="M55" s="7">
        <f t="shared" si="36"/>
        <v>2196.7355935512396</v>
      </c>
      <c r="N55" s="7"/>
      <c r="O55" s="24" t="s">
        <v>17</v>
      </c>
      <c r="P55" s="9">
        <f>(M55/H55)^(1/5)-1</f>
        <v>3.5402520951391958E-2</v>
      </c>
      <c r="Q55" s="9">
        <f>(M55/I55)^(1/4)-1</f>
        <v>5.5211694909712783E-2</v>
      </c>
    </row>
    <row r="56" spans="1:17" x14ac:dyDescent="0.15">
      <c r="A56" s="23"/>
      <c r="B56" s="7"/>
      <c r="C56" s="7"/>
      <c r="D56" s="7"/>
      <c r="E56" s="7"/>
      <c r="F56" s="7"/>
      <c r="G56" s="7"/>
    </row>
    <row r="57" spans="1:17" ht="12" x14ac:dyDescent="0.15">
      <c r="A57" s="5" t="s">
        <v>29</v>
      </c>
      <c r="B57" s="7">
        <v>1448</v>
      </c>
      <c r="C57" s="7">
        <v>1275</v>
      </c>
      <c r="D57" s="7">
        <v>1439</v>
      </c>
      <c r="E57" s="7">
        <v>1660</v>
      </c>
      <c r="F57" s="7">
        <v>1875</v>
      </c>
      <c r="G57" s="7">
        <v>1940</v>
      </c>
      <c r="H57" s="7">
        <v>2091</v>
      </c>
      <c r="I57" s="8">
        <f>H57*(1+I58)</f>
        <v>2363.0391000000004</v>
      </c>
      <c r="J57" s="8">
        <f t="shared" ref="J57:M57" si="37">I57*(1+J58)</f>
        <v>2669.7615751800004</v>
      </c>
      <c r="K57" s="8">
        <f t="shared" si="37"/>
        <v>3017.3645322684365</v>
      </c>
      <c r="L57" s="8">
        <f t="shared" si="37"/>
        <v>3409.0184485568793</v>
      </c>
      <c r="M57" s="8">
        <f t="shared" si="37"/>
        <v>3795.6011406232292</v>
      </c>
      <c r="N57" s="8"/>
      <c r="O57" s="9">
        <f>(H57/C57)^(1/5)-1</f>
        <v>0.10399922776586901</v>
      </c>
      <c r="P57" s="9">
        <f>(M57/H57)^(1/5)-1</f>
        <v>0.12664036540199475</v>
      </c>
      <c r="Q57" s="9">
        <f>(M57/I57)^(1/4)-1</f>
        <v>0.12577711288970317</v>
      </c>
    </row>
    <row r="58" spans="1:17" ht="12" x14ac:dyDescent="0.15">
      <c r="A58" s="10" t="s">
        <v>18</v>
      </c>
      <c r="B58" s="7"/>
      <c r="C58" s="11">
        <f t="shared" ref="C58:H58" si="38">(C57/B57)-1</f>
        <v>-0.11947513812154698</v>
      </c>
      <c r="D58" s="11">
        <f t="shared" si="38"/>
        <v>0.12862745098039219</v>
      </c>
      <c r="E58" s="11">
        <f t="shared" si="38"/>
        <v>0.15357887421820715</v>
      </c>
      <c r="F58" s="11">
        <f t="shared" si="38"/>
        <v>0.12951807228915668</v>
      </c>
      <c r="G58" s="11">
        <f t="shared" si="38"/>
        <v>3.4666666666666623E-2</v>
      </c>
      <c r="H58" s="11">
        <f t="shared" si="38"/>
        <v>7.7835051546391698E-2</v>
      </c>
      <c r="I58" s="12">
        <v>0.13009999999999999</v>
      </c>
      <c r="J58" s="12">
        <v>0.1298</v>
      </c>
      <c r="K58" s="12">
        <v>0.13020000000000001</v>
      </c>
      <c r="L58" s="12">
        <v>0.1298</v>
      </c>
      <c r="M58" s="12">
        <v>0.1134</v>
      </c>
      <c r="N58" s="12"/>
      <c r="O58" s="12"/>
      <c r="P58" s="12"/>
      <c r="Q58" s="12"/>
    </row>
    <row r="59" spans="1:17" ht="12" x14ac:dyDescent="0.15">
      <c r="A59" s="13" t="s">
        <v>19</v>
      </c>
      <c r="B59" s="7">
        <v>411</v>
      </c>
      <c r="C59" s="7">
        <v>316</v>
      </c>
      <c r="D59" s="7">
        <v>367</v>
      </c>
      <c r="E59" s="7">
        <v>393</v>
      </c>
      <c r="F59" s="7">
        <v>472</v>
      </c>
      <c r="G59" s="7">
        <v>482</v>
      </c>
      <c r="H59" s="7">
        <v>560</v>
      </c>
      <c r="I59" s="8">
        <f>H59*(1+I60)</f>
        <v>637.56000000000006</v>
      </c>
      <c r="J59" s="8">
        <f t="shared" ref="J59:M59" si="39">I59*(1+J60)</f>
        <v>720.50655600000016</v>
      </c>
      <c r="K59" s="8">
        <f t="shared" si="39"/>
        <v>813.23574975720021</v>
      </c>
      <c r="L59" s="8">
        <f t="shared" si="39"/>
        <v>919.4443386754906</v>
      </c>
      <c r="M59" s="8">
        <f t="shared" si="39"/>
        <v>1028.5823816762713</v>
      </c>
      <c r="N59" s="8"/>
      <c r="O59" s="9">
        <f>(H59/C59)^(1/5)-1</f>
        <v>0.12124414668392336</v>
      </c>
      <c r="P59" s="9">
        <f>(M59/H59)^(1/5)-1</f>
        <v>0.12930229525431347</v>
      </c>
      <c r="Q59" s="9">
        <f>(M59/I59)^(1/4)-1</f>
        <v>0.12701450296681926</v>
      </c>
    </row>
    <row r="60" spans="1:17" ht="12" x14ac:dyDescent="0.15">
      <c r="A60" s="10" t="s">
        <v>18</v>
      </c>
      <c r="B60" s="7"/>
      <c r="C60" s="11">
        <f t="shared" ref="C60:H60" si="40">(C59/B59)-1</f>
        <v>-0.23114355231143557</v>
      </c>
      <c r="D60" s="11">
        <f t="shared" si="40"/>
        <v>0.16139240506329111</v>
      </c>
      <c r="E60" s="11">
        <f t="shared" si="40"/>
        <v>7.0844686648501298E-2</v>
      </c>
      <c r="F60" s="11">
        <f t="shared" si="40"/>
        <v>0.20101781170483468</v>
      </c>
      <c r="G60" s="11">
        <f t="shared" si="40"/>
        <v>2.1186440677966045E-2</v>
      </c>
      <c r="H60" s="11">
        <f t="shared" si="40"/>
        <v>0.16182572614107893</v>
      </c>
      <c r="I60" s="12">
        <v>0.13850000000000001</v>
      </c>
      <c r="J60" s="12">
        <v>0.13009999999999999</v>
      </c>
      <c r="K60" s="12">
        <v>0.12870000000000001</v>
      </c>
      <c r="L60" s="12">
        <v>0.13059999999999999</v>
      </c>
      <c r="M60" s="12">
        <v>0.1187</v>
      </c>
      <c r="N60" s="12"/>
      <c r="O60" s="12"/>
      <c r="P60" s="12"/>
      <c r="Q60" s="12"/>
    </row>
    <row r="61" spans="1:17" ht="12" x14ac:dyDescent="0.15">
      <c r="A61" s="10" t="s">
        <v>20</v>
      </c>
      <c r="B61" s="11">
        <f t="shared" ref="B61:M61" si="41">B59/B57</f>
        <v>0.28383977900552487</v>
      </c>
      <c r="C61" s="11">
        <f t="shared" si="41"/>
        <v>0.24784313725490195</v>
      </c>
      <c r="D61" s="11">
        <f t="shared" si="41"/>
        <v>0.2550382209867964</v>
      </c>
      <c r="E61" s="11">
        <f t="shared" si="41"/>
        <v>0.23674698795180724</v>
      </c>
      <c r="F61" s="11">
        <f t="shared" si="41"/>
        <v>0.25173333333333331</v>
      </c>
      <c r="G61" s="11">
        <f t="shared" si="41"/>
        <v>0.24845360824742269</v>
      </c>
      <c r="H61" s="11">
        <f t="shared" si="41"/>
        <v>0.26781444285031086</v>
      </c>
      <c r="I61" s="11">
        <f t="shared" si="41"/>
        <v>0.26980509971248462</v>
      </c>
      <c r="J61" s="11">
        <f t="shared" si="41"/>
        <v>0.26987674206503715</v>
      </c>
      <c r="K61" s="11">
        <f t="shared" si="41"/>
        <v>0.26951856199682128</v>
      </c>
      <c r="L61" s="11">
        <f t="shared" si="41"/>
        <v>0.26970940537582416</v>
      </c>
      <c r="M61" s="11">
        <f t="shared" si="41"/>
        <v>0.27099327446913468</v>
      </c>
      <c r="N61" s="11"/>
      <c r="O61" s="11"/>
      <c r="P61" s="11"/>
      <c r="Q61" s="11"/>
    </row>
    <row r="62" spans="1:17" ht="12" x14ac:dyDescent="0.15">
      <c r="A62" s="13" t="s">
        <v>21</v>
      </c>
      <c r="B62" s="15">
        <v>14</v>
      </c>
      <c r="C62" s="15">
        <v>17</v>
      </c>
      <c r="D62" s="15">
        <v>17</v>
      </c>
      <c r="E62" s="15">
        <v>16</v>
      </c>
      <c r="F62" s="15">
        <v>17</v>
      </c>
      <c r="G62" s="15">
        <v>17</v>
      </c>
      <c r="H62" s="15">
        <v>17</v>
      </c>
      <c r="I62" s="16">
        <v>17</v>
      </c>
      <c r="J62" s="16">
        <v>17</v>
      </c>
      <c r="K62" s="16">
        <v>17</v>
      </c>
      <c r="L62" s="16">
        <v>17</v>
      </c>
      <c r="M62" s="16">
        <v>17</v>
      </c>
      <c r="N62" s="16"/>
      <c r="O62" s="16"/>
      <c r="P62" s="16"/>
      <c r="Q62" s="16"/>
    </row>
    <row r="63" spans="1:17" ht="12" x14ac:dyDescent="0.15">
      <c r="A63" s="13" t="s">
        <v>22</v>
      </c>
      <c r="B63" s="22">
        <v>1106</v>
      </c>
      <c r="C63" s="18">
        <v>1207</v>
      </c>
      <c r="D63" s="18">
        <v>1199</v>
      </c>
      <c r="E63" s="18">
        <v>1380</v>
      </c>
      <c r="F63" s="18">
        <v>1503</v>
      </c>
      <c r="G63" s="18">
        <v>1595</v>
      </c>
      <c r="H63" s="18">
        <v>1635</v>
      </c>
      <c r="I63" s="8">
        <f>H63*(1+I64)</f>
        <v>1747.3244999999999</v>
      </c>
      <c r="J63" s="8">
        <f t="shared" ref="J63:M63" si="42">I63*(1+J64)</f>
        <v>1900.3901261999997</v>
      </c>
      <c r="K63" s="8">
        <f t="shared" si="42"/>
        <v>2163.5941586786998</v>
      </c>
      <c r="L63" s="8">
        <f t="shared" si="42"/>
        <v>2487.7005636487688</v>
      </c>
      <c r="M63" s="8">
        <f t="shared" si="42"/>
        <v>2757.6160748046605</v>
      </c>
      <c r="N63" s="16"/>
      <c r="O63" s="9"/>
      <c r="P63" s="9"/>
      <c r="Q63" s="9"/>
    </row>
    <row r="64" spans="1:17" ht="12" x14ac:dyDescent="0.15">
      <c r="A64" s="10" t="s">
        <v>18</v>
      </c>
      <c r="B64" s="19"/>
      <c r="C64" s="11">
        <f t="shared" ref="C64:H64" si="43">(C63/B63)-1</f>
        <v>9.132007233273054E-2</v>
      </c>
      <c r="D64" s="11">
        <f t="shared" si="43"/>
        <v>-6.6280033140017069E-3</v>
      </c>
      <c r="E64" s="11">
        <f t="shared" si="43"/>
        <v>0.15095913261050886</v>
      </c>
      <c r="F64" s="11">
        <f t="shared" si="43"/>
        <v>8.9130434782608736E-2</v>
      </c>
      <c r="G64" s="11">
        <f t="shared" si="43"/>
        <v>6.1210911510312771E-2</v>
      </c>
      <c r="H64" s="11">
        <f t="shared" si="43"/>
        <v>2.5078369905956022E-2</v>
      </c>
      <c r="I64" s="12">
        <v>6.8699999999999997E-2</v>
      </c>
      <c r="J64" s="12">
        <v>8.7599999999999997E-2</v>
      </c>
      <c r="K64" s="12">
        <v>0.13850000000000001</v>
      </c>
      <c r="L64" s="12">
        <v>0.14979999999999999</v>
      </c>
      <c r="M64" s="12">
        <v>0.1085</v>
      </c>
      <c r="N64" s="12"/>
      <c r="O64" s="12"/>
      <c r="P64" s="12"/>
      <c r="Q64" s="12"/>
    </row>
    <row r="65" spans="1:17" ht="12" x14ac:dyDescent="0.15">
      <c r="A65" s="10" t="s">
        <v>23</v>
      </c>
      <c r="B65" s="11">
        <f>B59/B63</f>
        <v>0.37160940325497288</v>
      </c>
      <c r="C65" s="11">
        <f>C59/C63</f>
        <v>0.26180613090306543</v>
      </c>
      <c r="D65" s="11">
        <f>D59/D63</f>
        <v>0.30608840700583823</v>
      </c>
      <c r="E65" s="11">
        <f t="shared" ref="E65:M65" si="44">E59/E63</f>
        <v>0.2847826086956522</v>
      </c>
      <c r="F65" s="11">
        <f t="shared" si="44"/>
        <v>0.31403858948769131</v>
      </c>
      <c r="G65" s="11">
        <f t="shared" si="44"/>
        <v>0.30219435736677114</v>
      </c>
      <c r="H65" s="11">
        <f t="shared" si="44"/>
        <v>0.34250764525993882</v>
      </c>
      <c r="I65" s="11">
        <f t="shared" si="44"/>
        <v>0.36487784610128232</v>
      </c>
      <c r="J65" s="11">
        <f t="shared" si="44"/>
        <v>0.37913612898037813</v>
      </c>
      <c r="K65" s="11">
        <f t="shared" si="44"/>
        <v>0.37587259444897037</v>
      </c>
      <c r="L65" s="11">
        <f t="shared" si="44"/>
        <v>0.36959606477996693</v>
      </c>
      <c r="M65" s="11">
        <f t="shared" si="44"/>
        <v>0.37299694873193412</v>
      </c>
      <c r="N65" s="12"/>
      <c r="O65" s="12"/>
      <c r="P65" s="12"/>
      <c r="Q65" s="12"/>
    </row>
    <row r="66" spans="1:17" ht="12" x14ac:dyDescent="0.15">
      <c r="A66" s="13" t="s">
        <v>24</v>
      </c>
      <c r="B66" s="7">
        <f>B59*B62</f>
        <v>5754</v>
      </c>
      <c r="C66" s="7">
        <f>C59*C62</f>
        <v>5372</v>
      </c>
      <c r="D66" s="7">
        <f t="shared" ref="D66:M66" si="45">D59*D62</f>
        <v>6239</v>
      </c>
      <c r="E66" s="7">
        <f t="shared" si="45"/>
        <v>6288</v>
      </c>
      <c r="F66" s="7">
        <f t="shared" si="45"/>
        <v>8024</v>
      </c>
      <c r="G66" s="7">
        <f t="shared" si="45"/>
        <v>8194</v>
      </c>
      <c r="H66" s="7">
        <f t="shared" si="45"/>
        <v>9520</v>
      </c>
      <c r="I66" s="7">
        <f t="shared" si="45"/>
        <v>10838.52</v>
      </c>
      <c r="J66" s="7">
        <f t="shared" si="45"/>
        <v>12248.611452000003</v>
      </c>
      <c r="K66" s="7">
        <f t="shared" si="45"/>
        <v>13825.007745872404</v>
      </c>
      <c r="L66" s="7">
        <f t="shared" si="45"/>
        <v>15630.55375748334</v>
      </c>
      <c r="M66" s="7">
        <f t="shared" si="45"/>
        <v>17485.900488496613</v>
      </c>
      <c r="N66" s="7"/>
      <c r="O66" s="9">
        <f>(H66/C66)^(1/5)-1</f>
        <v>0.12124414668392336</v>
      </c>
      <c r="P66" s="9">
        <f>(M66/H66)^(1/5)-1</f>
        <v>0.12930229525431347</v>
      </c>
      <c r="Q66" s="9">
        <f>(M66/I66)^(1/4)-1</f>
        <v>0.12701450296681926</v>
      </c>
    </row>
    <row r="67" spans="1:17" x14ac:dyDescent="0.15">
      <c r="A67" s="23"/>
      <c r="B67" s="7"/>
      <c r="C67" s="7"/>
      <c r="D67" s="7"/>
      <c r="E67" s="7"/>
      <c r="F67" s="7"/>
      <c r="G67" s="7"/>
    </row>
    <row r="68" spans="1:17" ht="12" x14ac:dyDescent="0.15">
      <c r="A68" s="5" t="s">
        <v>30</v>
      </c>
      <c r="B68" s="7">
        <v>5986</v>
      </c>
      <c r="C68" s="7">
        <v>5614</v>
      </c>
      <c r="D68" s="7">
        <v>5824</v>
      </c>
      <c r="E68" s="7">
        <v>7015</v>
      </c>
      <c r="F68" s="7">
        <v>8828</v>
      </c>
      <c r="G68" s="7">
        <v>9335</v>
      </c>
      <c r="H68" s="7">
        <v>10272</v>
      </c>
      <c r="I68" s="8">
        <f>H68*(1+I69)</f>
        <v>10058.3424</v>
      </c>
      <c r="J68" s="8">
        <f t="shared" ref="J68:M68" si="46">I68*(1+J69)</f>
        <v>10984.715735039999</v>
      </c>
      <c r="K68" s="8">
        <f t="shared" si="46"/>
        <v>11912.924214650879</v>
      </c>
      <c r="L68" s="8">
        <f t="shared" si="46"/>
        <v>13142.337993602849</v>
      </c>
      <c r="M68" s="8">
        <f t="shared" si="46"/>
        <v>14250.237086463569</v>
      </c>
      <c r="N68" s="8"/>
      <c r="O68" s="9">
        <f>(H68/C68)^(1/5)-1</f>
        <v>0.12843492864587547</v>
      </c>
      <c r="P68" s="9">
        <f>(M68/H68)^(1/5)-1</f>
        <v>6.7661090787930256E-2</v>
      </c>
      <c r="Q68" s="9">
        <f>(M68/I68)^(1/4)-1</f>
        <v>9.0997909944815047E-2</v>
      </c>
    </row>
    <row r="69" spans="1:17" ht="12" x14ac:dyDescent="0.15">
      <c r="A69" s="10" t="s">
        <v>18</v>
      </c>
      <c r="B69" s="7"/>
      <c r="C69" s="11">
        <f t="shared" ref="C69:H69" si="47">(C68/B68)-1</f>
        <v>-6.2145005011693955E-2</v>
      </c>
      <c r="D69" s="11">
        <f t="shared" si="47"/>
        <v>3.7406483790523692E-2</v>
      </c>
      <c r="E69" s="11">
        <f t="shared" si="47"/>
        <v>0.20449862637362637</v>
      </c>
      <c r="F69" s="11">
        <f t="shared" si="47"/>
        <v>0.25844618674269415</v>
      </c>
      <c r="G69" s="11">
        <f t="shared" si="47"/>
        <v>5.7430901676484014E-2</v>
      </c>
      <c r="H69" s="11">
        <f t="shared" si="47"/>
        <v>0.10037493304766998</v>
      </c>
      <c r="I69" s="12">
        <v>-2.0799999999999999E-2</v>
      </c>
      <c r="J69" s="12">
        <v>9.2100000000000001E-2</v>
      </c>
      <c r="K69" s="12">
        <v>8.4500000000000006E-2</v>
      </c>
      <c r="L69" s="12">
        <v>0.1032</v>
      </c>
      <c r="M69" s="12">
        <v>8.43E-2</v>
      </c>
      <c r="N69" s="12"/>
      <c r="O69" s="12"/>
      <c r="P69" s="12"/>
      <c r="Q69" s="12"/>
    </row>
    <row r="70" spans="1:17" ht="12" x14ac:dyDescent="0.15">
      <c r="A70" s="13" t="s">
        <v>19</v>
      </c>
      <c r="B70" s="7">
        <v>717</v>
      </c>
      <c r="C70" s="7">
        <v>721</v>
      </c>
      <c r="D70" s="7">
        <v>718</v>
      </c>
      <c r="E70" s="7">
        <v>778</v>
      </c>
      <c r="F70" s="7">
        <v>1127</v>
      </c>
      <c r="G70" s="7">
        <v>1131</v>
      </c>
      <c r="H70" s="7">
        <v>1113</v>
      </c>
      <c r="I70" s="8">
        <f>H70*(1+I71)</f>
        <v>1039.6532999999999</v>
      </c>
      <c r="J70" s="8">
        <f t="shared" ref="J70:M70" si="48">I70*(1+J71)</f>
        <v>1142.2670807099998</v>
      </c>
      <c r="K70" s="8">
        <f t="shared" si="48"/>
        <v>1259.121003066633</v>
      </c>
      <c r="L70" s="8">
        <f t="shared" si="48"/>
        <v>1394.6024229966026</v>
      </c>
      <c r="M70" s="8">
        <f t="shared" si="48"/>
        <v>1540.0594557151483</v>
      </c>
      <c r="N70" s="8"/>
      <c r="O70" s="9">
        <f>(H70/C70)^(1/5)-1</f>
        <v>9.0716743295762736E-2</v>
      </c>
      <c r="P70" s="9">
        <f>(M70/H70)^(1/5)-1</f>
        <v>6.7108218364659189E-2</v>
      </c>
      <c r="Q70" s="9">
        <f>(M70/I70)^(1/4)-1</f>
        <v>0.1032202828244877</v>
      </c>
    </row>
    <row r="71" spans="1:17" ht="12" x14ac:dyDescent="0.15">
      <c r="A71" s="10" t="s">
        <v>18</v>
      </c>
      <c r="B71" s="7"/>
      <c r="C71" s="11">
        <f t="shared" ref="C71:H71" si="49">(C70/B70)-1</f>
        <v>5.5788005578800703E-3</v>
      </c>
      <c r="D71" s="11">
        <f t="shared" si="49"/>
        <v>-4.1608876560332853E-3</v>
      </c>
      <c r="E71" s="11">
        <f t="shared" si="49"/>
        <v>8.3565459610027926E-2</v>
      </c>
      <c r="F71" s="11">
        <f t="shared" si="49"/>
        <v>0.44858611825192796</v>
      </c>
      <c r="G71" s="11">
        <f t="shared" si="49"/>
        <v>3.549245785270605E-3</v>
      </c>
      <c r="H71" s="11">
        <f t="shared" si="49"/>
        <v>-1.591511936339518E-2</v>
      </c>
      <c r="I71" s="12">
        <v>-6.59E-2</v>
      </c>
      <c r="J71" s="12">
        <v>9.8699999999999996E-2</v>
      </c>
      <c r="K71" s="12">
        <v>0.1023</v>
      </c>
      <c r="L71" s="12">
        <v>0.1076</v>
      </c>
      <c r="M71" s="12">
        <v>0.1043</v>
      </c>
      <c r="N71" s="12"/>
      <c r="O71" s="12"/>
      <c r="P71" s="12"/>
      <c r="Q71" s="12"/>
    </row>
    <row r="72" spans="1:17" ht="12" x14ac:dyDescent="0.15">
      <c r="A72" s="10" t="s">
        <v>20</v>
      </c>
      <c r="B72" s="11">
        <f t="shared" ref="B72:M72" si="50">B70/B68</f>
        <v>0.11977948546608753</v>
      </c>
      <c r="C72" s="11">
        <f t="shared" si="50"/>
        <v>0.128428927680798</v>
      </c>
      <c r="D72" s="11">
        <f t="shared" si="50"/>
        <v>0.12328296703296704</v>
      </c>
      <c r="E72" s="11">
        <f t="shared" si="50"/>
        <v>0.11090520313613685</v>
      </c>
      <c r="F72" s="11">
        <f t="shared" si="50"/>
        <v>0.12766198459447214</v>
      </c>
      <c r="G72" s="11">
        <f t="shared" si="50"/>
        <v>0.1211569362613819</v>
      </c>
      <c r="H72" s="11">
        <f t="shared" si="50"/>
        <v>0.10835280373831775</v>
      </c>
      <c r="I72" s="11">
        <f t="shared" si="50"/>
        <v>0.10336228959555006</v>
      </c>
      <c r="J72" s="11">
        <f t="shared" si="50"/>
        <v>0.10398694952717777</v>
      </c>
      <c r="K72" s="11">
        <f t="shared" si="50"/>
        <v>0.10569369706206369</v>
      </c>
      <c r="L72" s="11">
        <f t="shared" si="50"/>
        <v>0.1061152455275034</v>
      </c>
      <c r="M72" s="11">
        <f t="shared" si="50"/>
        <v>0.10807254969659873</v>
      </c>
      <c r="N72" s="11"/>
      <c r="O72" s="11"/>
      <c r="P72" s="11"/>
      <c r="Q72" s="11"/>
    </row>
    <row r="73" spans="1:17" ht="12" x14ac:dyDescent="0.15">
      <c r="A73" s="13" t="s">
        <v>21</v>
      </c>
      <c r="B73" s="15">
        <v>15</v>
      </c>
      <c r="C73" s="15">
        <v>17</v>
      </c>
      <c r="D73" s="15">
        <v>18</v>
      </c>
      <c r="E73" s="15">
        <v>15</v>
      </c>
      <c r="F73" s="15">
        <v>16</v>
      </c>
      <c r="G73" s="15">
        <v>17</v>
      </c>
      <c r="H73" s="15">
        <v>17</v>
      </c>
      <c r="I73" s="16">
        <v>16</v>
      </c>
      <c r="J73" s="16">
        <v>16</v>
      </c>
      <c r="K73" s="16">
        <v>16</v>
      </c>
      <c r="L73" s="16">
        <v>16</v>
      </c>
      <c r="M73" s="16">
        <v>16</v>
      </c>
      <c r="N73" s="16"/>
      <c r="O73" s="16"/>
      <c r="P73" s="16"/>
      <c r="Q73" s="16"/>
    </row>
    <row r="74" spans="1:17" ht="12" x14ac:dyDescent="0.15">
      <c r="A74" s="13" t="s">
        <v>22</v>
      </c>
      <c r="B74" s="22">
        <v>3284</v>
      </c>
      <c r="C74" s="18">
        <v>3239</v>
      </c>
      <c r="D74" s="18">
        <v>3265</v>
      </c>
      <c r="E74" s="18">
        <v>4038</v>
      </c>
      <c r="F74" s="18">
        <v>5140</v>
      </c>
      <c r="G74" s="18">
        <v>5926</v>
      </c>
      <c r="H74" s="18">
        <v>7608</v>
      </c>
      <c r="I74" s="8">
        <f>H74*(1+I75)</f>
        <v>8121.5399999999991</v>
      </c>
      <c r="J74" s="8">
        <f t="shared" ref="J74:M74" si="51">I74*(1+J75)</f>
        <v>8859.7879859999994</v>
      </c>
      <c r="K74" s="8">
        <f t="shared" si="51"/>
        <v>9661.5987987329991</v>
      </c>
      <c r="L74" s="8">
        <f t="shared" si="51"/>
        <v>10543.702769057321</v>
      </c>
      <c r="M74" s="8">
        <f t="shared" si="51"/>
        <v>11582.257491809467</v>
      </c>
      <c r="N74" s="16"/>
      <c r="O74" s="16"/>
      <c r="P74" s="16"/>
      <c r="Q74" s="16"/>
    </row>
    <row r="75" spans="1:17" ht="12" x14ac:dyDescent="0.15">
      <c r="A75" s="10" t="s">
        <v>18</v>
      </c>
      <c r="B75" s="11"/>
      <c r="C75" s="11">
        <f t="shared" ref="C75" si="52">(C74/B74)-1</f>
        <v>-1.3702801461632164E-2</v>
      </c>
      <c r="D75" s="11">
        <f>(D74/C74)-1</f>
        <v>8.0271688792836748E-3</v>
      </c>
      <c r="E75" s="11">
        <f>(E74/D74)-1</f>
        <v>0.23675344563552825</v>
      </c>
      <c r="F75" s="11">
        <f>(F74/E74)-1</f>
        <v>0.27290737989103508</v>
      </c>
      <c r="G75" s="11">
        <f>(G74/F74)-1</f>
        <v>0.15291828793774309</v>
      </c>
      <c r="H75" s="11">
        <f>(H74/G74)-1</f>
        <v>0.28383395207559903</v>
      </c>
      <c r="I75" s="12">
        <v>6.7500000000000004E-2</v>
      </c>
      <c r="J75" s="12">
        <v>9.0899999999999995E-2</v>
      </c>
      <c r="K75" s="12">
        <v>9.0499999999999997E-2</v>
      </c>
      <c r="L75" s="12">
        <v>9.1300000000000006E-2</v>
      </c>
      <c r="M75" s="12">
        <v>9.8500000000000004E-2</v>
      </c>
      <c r="N75" s="12"/>
      <c r="O75" s="12"/>
      <c r="P75" s="12"/>
      <c r="Q75" s="12"/>
    </row>
    <row r="76" spans="1:17" ht="12" x14ac:dyDescent="0.15">
      <c r="A76" s="10" t="s">
        <v>23</v>
      </c>
      <c r="B76" s="11">
        <f t="shared" ref="B76:C76" si="53">B70/B74</f>
        <v>0.21833130328867234</v>
      </c>
      <c r="C76" s="11">
        <f t="shared" si="53"/>
        <v>0.22259956776782958</v>
      </c>
      <c r="D76" s="11">
        <f>D70/D74</f>
        <v>0.21990811638591118</v>
      </c>
      <c r="E76" s="11">
        <f t="shared" ref="E76:M76" si="54">E70/E74</f>
        <v>0.19266963843486876</v>
      </c>
      <c r="F76" s="11">
        <f t="shared" si="54"/>
        <v>0.21926070038910506</v>
      </c>
      <c r="G76" s="11">
        <f t="shared" si="54"/>
        <v>0.1908538643266959</v>
      </c>
      <c r="H76" s="11">
        <f t="shared" si="54"/>
        <v>0.14629337539432177</v>
      </c>
      <c r="I76" s="11">
        <f t="shared" si="54"/>
        <v>0.12801184258157935</v>
      </c>
      <c r="J76" s="11">
        <f t="shared" si="54"/>
        <v>0.12892713488347349</v>
      </c>
      <c r="K76" s="11">
        <f t="shared" si="54"/>
        <v>0.13032221988267112</v>
      </c>
      <c r="L76" s="11">
        <f t="shared" si="54"/>
        <v>0.13226875354352288</v>
      </c>
      <c r="M76" s="11">
        <f t="shared" si="54"/>
        <v>0.13296712292955151</v>
      </c>
      <c r="N76" s="12"/>
      <c r="O76" s="12"/>
      <c r="P76" s="12"/>
      <c r="Q76" s="12"/>
    </row>
    <row r="77" spans="1:17" ht="12" x14ac:dyDescent="0.15">
      <c r="A77" s="13" t="s">
        <v>24</v>
      </c>
      <c r="B77" s="7">
        <f>B70*B73</f>
        <v>10755</v>
      </c>
      <c r="C77" s="7">
        <f>C70*C73</f>
        <v>12257</v>
      </c>
      <c r="D77" s="7">
        <f>D70*D73</f>
        <v>12924</v>
      </c>
      <c r="E77" s="7">
        <f t="shared" ref="E77:M77" si="55">E70*E73</f>
        <v>11670</v>
      </c>
      <c r="F77" s="7">
        <f t="shared" si="55"/>
        <v>18032</v>
      </c>
      <c r="G77" s="7">
        <f t="shared" si="55"/>
        <v>19227</v>
      </c>
      <c r="H77" s="7">
        <f t="shared" si="55"/>
        <v>18921</v>
      </c>
      <c r="I77" s="7">
        <f t="shared" si="55"/>
        <v>16634.452799999999</v>
      </c>
      <c r="J77" s="7">
        <f t="shared" si="55"/>
        <v>18276.273291359998</v>
      </c>
      <c r="K77" s="7">
        <f t="shared" si="55"/>
        <v>20145.936049066127</v>
      </c>
      <c r="L77" s="7">
        <f t="shared" si="55"/>
        <v>22313.638767945642</v>
      </c>
      <c r="M77" s="7">
        <f t="shared" si="55"/>
        <v>24640.951291442372</v>
      </c>
      <c r="N77" s="7"/>
      <c r="O77" s="9">
        <f>(H77/C77)^(1/5)-1</f>
        <v>9.0716743295762736E-2</v>
      </c>
      <c r="P77" s="9">
        <f>(M77/H77)^(1/5)-1</f>
        <v>5.4247735674797459E-2</v>
      </c>
      <c r="Q77" s="9">
        <f>(M77/I77)^(1/4)-1</f>
        <v>0.1032202828244877</v>
      </c>
    </row>
    <row r="78" spans="1:17" x14ac:dyDescent="0.15">
      <c r="A78" s="23"/>
      <c r="B78" s="7"/>
      <c r="C78" s="7"/>
      <c r="D78" s="7"/>
      <c r="E78" s="7"/>
      <c r="F78" s="7"/>
      <c r="G78" s="7"/>
    </row>
    <row r="79" spans="1:17" ht="12" x14ac:dyDescent="0.15">
      <c r="A79" s="25" t="s">
        <v>31</v>
      </c>
      <c r="B79" s="7">
        <v>222</v>
      </c>
      <c r="C79" s="7">
        <v>245</v>
      </c>
      <c r="D79" s="7">
        <v>287</v>
      </c>
      <c r="E79" s="7">
        <v>-7</v>
      </c>
      <c r="F79" s="7">
        <v>-14</v>
      </c>
      <c r="G79" s="7">
        <v>-18</v>
      </c>
      <c r="H79" s="18">
        <v>-18</v>
      </c>
      <c r="I79" s="26">
        <v>-20</v>
      </c>
      <c r="J79" s="26">
        <v>-20</v>
      </c>
      <c r="K79" s="26">
        <v>-20</v>
      </c>
      <c r="L79" s="26">
        <v>-20</v>
      </c>
      <c r="M79" s="26">
        <v>-20</v>
      </c>
    </row>
    <row r="80" spans="1:17" ht="12" x14ac:dyDescent="0.15">
      <c r="A80" s="10" t="s">
        <v>18</v>
      </c>
      <c r="B80" s="7"/>
      <c r="C80" s="11">
        <f>(C79/B79)-1</f>
        <v>0.10360360360360366</v>
      </c>
      <c r="D80" s="11">
        <f>(D79/C79)-1</f>
        <v>0.17142857142857149</v>
      </c>
      <c r="E80" s="11">
        <f>(E79/D79)-1</f>
        <v>-1.024390243902439</v>
      </c>
      <c r="F80" s="11">
        <f>(F79/E79)-1</f>
        <v>1</v>
      </c>
      <c r="G80" s="11">
        <f>(G79/F79)-1</f>
        <v>0.28571428571428581</v>
      </c>
      <c r="H80" s="11">
        <f t="shared" ref="H80:M80" si="56">(H79/G79)-1</f>
        <v>0</v>
      </c>
      <c r="I80" s="11">
        <f t="shared" si="56"/>
        <v>0.11111111111111116</v>
      </c>
      <c r="J80" s="11">
        <f t="shared" si="56"/>
        <v>0</v>
      </c>
      <c r="K80" s="11">
        <f t="shared" si="56"/>
        <v>0</v>
      </c>
      <c r="L80" s="11">
        <f t="shared" si="56"/>
        <v>0</v>
      </c>
      <c r="M80" s="11">
        <f t="shared" si="56"/>
        <v>0</v>
      </c>
      <c r="N80" s="12"/>
      <c r="O80" s="12"/>
      <c r="P80" s="12"/>
      <c r="Q80" s="12"/>
    </row>
    <row r="81" spans="1:19" x14ac:dyDescent="0.15">
      <c r="A81" s="23"/>
      <c r="B81" s="7"/>
      <c r="C81" s="7"/>
      <c r="D81" s="7"/>
      <c r="E81" s="7"/>
      <c r="F81" s="7"/>
      <c r="G81" s="7"/>
    </row>
    <row r="82" spans="1:19" ht="12" x14ac:dyDescent="0.15">
      <c r="A82" s="5" t="s">
        <v>32</v>
      </c>
      <c r="B82" s="7">
        <v>3076</v>
      </c>
      <c r="C82" s="7">
        <v>2356</v>
      </c>
      <c r="D82" s="7">
        <v>3022</v>
      </c>
      <c r="E82" s="7">
        <v>3820</v>
      </c>
      <c r="F82" s="27"/>
      <c r="G82" s="27"/>
      <c r="H82" s="27"/>
      <c r="I82" s="27"/>
      <c r="J82" s="27"/>
      <c r="K82" s="27"/>
      <c r="L82" s="27"/>
      <c r="M82" s="27"/>
      <c r="N82" s="7"/>
    </row>
    <row r="83" spans="1:19" x14ac:dyDescent="0.15">
      <c r="A83" s="10" t="s">
        <v>18</v>
      </c>
      <c r="B83" s="7"/>
      <c r="C83" s="11">
        <f>(C82/B82)-1</f>
        <v>-0.23407022106631992</v>
      </c>
      <c r="D83" s="11">
        <f>(D82/C82)-1</f>
        <v>0.28268251273344647</v>
      </c>
      <c r="E83" s="11">
        <f>(E82/D82)-1</f>
        <v>0.26406353408338856</v>
      </c>
      <c r="F83" s="7"/>
      <c r="G83" s="7"/>
      <c r="I83" s="12"/>
      <c r="J83" s="12"/>
      <c r="K83" s="12"/>
      <c r="L83" s="12"/>
      <c r="M83" s="12"/>
      <c r="N83" s="12"/>
      <c r="O83" s="12"/>
      <c r="P83" s="12"/>
      <c r="Q83" s="12"/>
    </row>
    <row r="84" spans="1:19" ht="12" x14ac:dyDescent="0.15">
      <c r="A84" s="13" t="s">
        <v>19</v>
      </c>
      <c r="B84" s="7">
        <v>267</v>
      </c>
      <c r="C84" s="7">
        <v>147</v>
      </c>
      <c r="D84" s="7">
        <v>244</v>
      </c>
      <c r="E84" s="7">
        <v>290</v>
      </c>
      <c r="F84" s="27"/>
      <c r="G84" s="27"/>
      <c r="H84" s="27"/>
      <c r="I84" s="27"/>
      <c r="J84" s="27"/>
      <c r="K84" s="27"/>
      <c r="L84" s="27"/>
      <c r="M84" s="27"/>
    </row>
    <row r="85" spans="1:19" x14ac:dyDescent="0.15">
      <c r="A85" s="10" t="s">
        <v>18</v>
      </c>
      <c r="B85" s="7"/>
      <c r="C85" s="11">
        <f>(C84/B84)-1</f>
        <v>-0.449438202247191</v>
      </c>
      <c r="D85" s="11">
        <f>(D84/C84)-1</f>
        <v>0.65986394557823136</v>
      </c>
      <c r="E85" s="11">
        <f>(E84/D84)-1</f>
        <v>0.18852459016393452</v>
      </c>
      <c r="F85" s="7"/>
      <c r="G85" s="7"/>
      <c r="I85" s="12"/>
      <c r="J85" s="12"/>
      <c r="K85" s="12"/>
      <c r="L85" s="12"/>
      <c r="M85" s="12"/>
      <c r="N85" s="12"/>
      <c r="O85" s="12"/>
      <c r="P85" s="12"/>
      <c r="Q85" s="12"/>
      <c r="S85" s="9"/>
    </row>
    <row r="86" spans="1:19" x14ac:dyDescent="0.15">
      <c r="A86" s="10" t="s">
        <v>20</v>
      </c>
      <c r="B86" s="11">
        <f>B84/B82</f>
        <v>8.6801040312093625E-2</v>
      </c>
      <c r="C86" s="11">
        <f t="shared" ref="C86:E86" si="57">C84/C82</f>
        <v>6.2393887945670627E-2</v>
      </c>
      <c r="D86" s="11">
        <f t="shared" si="57"/>
        <v>8.0741230972865646E-2</v>
      </c>
      <c r="E86" s="11">
        <f t="shared" si="57"/>
        <v>7.5916230366492143E-2</v>
      </c>
      <c r="F86" s="7"/>
      <c r="G86" s="7"/>
      <c r="I86" s="12"/>
      <c r="J86" s="12"/>
      <c r="K86" s="12"/>
      <c r="L86" s="12"/>
      <c r="M86" s="12"/>
      <c r="N86" s="12"/>
      <c r="O86" s="12"/>
      <c r="P86" s="12"/>
      <c r="Q86" s="12"/>
      <c r="S86" s="9"/>
    </row>
    <row r="87" spans="1:19" ht="12" x14ac:dyDescent="0.15">
      <c r="A87" s="13" t="s">
        <v>21</v>
      </c>
      <c r="B87" s="15">
        <v>14</v>
      </c>
      <c r="C87" s="15">
        <v>16</v>
      </c>
      <c r="D87" s="15">
        <v>18</v>
      </c>
      <c r="E87" s="15">
        <v>16</v>
      </c>
      <c r="F87" s="27"/>
      <c r="G87" s="27"/>
      <c r="H87" s="27"/>
      <c r="I87" s="27"/>
      <c r="J87" s="27"/>
      <c r="K87" s="27"/>
      <c r="L87" s="27"/>
      <c r="M87" s="27"/>
      <c r="N87" s="27"/>
      <c r="O87" s="15"/>
      <c r="P87" s="15"/>
      <c r="Q87" s="15"/>
    </row>
    <row r="88" spans="1:19" ht="12" x14ac:dyDescent="0.15">
      <c r="A88" s="13" t="s">
        <v>22</v>
      </c>
      <c r="B88" s="22">
        <v>3043</v>
      </c>
      <c r="C88" s="18">
        <v>2233</v>
      </c>
      <c r="D88" s="18">
        <v>2742</v>
      </c>
      <c r="E88" s="18">
        <v>3370</v>
      </c>
      <c r="F88" s="27"/>
      <c r="G88" s="27"/>
      <c r="H88" s="27"/>
      <c r="I88" s="27"/>
      <c r="J88" s="27"/>
      <c r="K88" s="27"/>
      <c r="L88" s="27"/>
      <c r="M88" s="27"/>
      <c r="N88" s="16"/>
      <c r="O88" s="16"/>
      <c r="P88" s="16"/>
      <c r="Q88" s="16"/>
    </row>
    <row r="89" spans="1:19" ht="12" x14ac:dyDescent="0.15">
      <c r="A89" s="10" t="s">
        <v>18</v>
      </c>
      <c r="B89" s="19"/>
      <c r="C89" s="19"/>
      <c r="D89" s="11">
        <f>(D88/C88)-1</f>
        <v>0.22794446932377976</v>
      </c>
      <c r="E89" s="11">
        <f>(E88/D88)-1</f>
        <v>0.2290299051787017</v>
      </c>
      <c r="F89" s="11"/>
      <c r="G89" s="11"/>
      <c r="H89" s="11"/>
      <c r="I89" s="12"/>
      <c r="J89" s="12"/>
      <c r="K89" s="12"/>
      <c r="L89" s="12"/>
      <c r="M89" s="12"/>
      <c r="N89" s="12"/>
      <c r="O89" s="12"/>
      <c r="P89" s="12"/>
      <c r="Q89" s="12"/>
    </row>
    <row r="90" spans="1:19" ht="12" x14ac:dyDescent="0.15">
      <c r="A90" s="10" t="s">
        <v>23</v>
      </c>
      <c r="B90" s="19"/>
      <c r="C90" s="11">
        <f>C84/C88</f>
        <v>6.5830721003134793E-2</v>
      </c>
      <c r="D90" s="11">
        <f>D84/D88</f>
        <v>8.8986141502552879E-2</v>
      </c>
      <c r="E90" s="11">
        <f t="shared" ref="E90" si="58">E84/E88</f>
        <v>8.6053412462908013E-2</v>
      </c>
      <c r="F90" s="11"/>
      <c r="G90" s="11"/>
      <c r="H90" s="11"/>
      <c r="I90" s="12"/>
      <c r="J90" s="12"/>
      <c r="K90" s="12"/>
      <c r="L90" s="12"/>
      <c r="M90" s="12"/>
      <c r="N90" s="12"/>
      <c r="O90" s="12"/>
      <c r="P90" s="12"/>
      <c r="Q90" s="12"/>
    </row>
    <row r="91" spans="1:19" x14ac:dyDescent="0.15">
      <c r="A91" s="13" t="s">
        <v>24</v>
      </c>
      <c r="B91" s="7">
        <f>B84*B87</f>
        <v>3738</v>
      </c>
      <c r="C91" s="7">
        <f>C84*C87</f>
        <v>2352</v>
      </c>
      <c r="D91" s="7">
        <f>D84*D87</f>
        <v>4392</v>
      </c>
      <c r="E91" s="7">
        <f>E84*E87</f>
        <v>4640</v>
      </c>
      <c r="F91" s="7"/>
      <c r="G91" s="7"/>
    </row>
    <row r="92" spans="1:19" x14ac:dyDescent="0.15">
      <c r="A92" s="23"/>
      <c r="B92" s="7"/>
      <c r="C92" s="7"/>
      <c r="D92" s="7"/>
      <c r="E92" s="7"/>
      <c r="F92" s="7"/>
      <c r="G92" s="7"/>
    </row>
    <row r="93" spans="1:19" s="26" customFormat="1" ht="12" x14ac:dyDescent="0.15">
      <c r="A93" s="28" t="s">
        <v>33</v>
      </c>
      <c r="B93" s="18">
        <v>-3</v>
      </c>
      <c r="C93" s="18">
        <v>-4</v>
      </c>
      <c r="D93" s="18">
        <v>-3</v>
      </c>
      <c r="E93" s="18">
        <v>0</v>
      </c>
      <c r="F93" s="18">
        <v>0</v>
      </c>
      <c r="G93" s="18">
        <v>0</v>
      </c>
      <c r="H93" s="18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</row>
    <row r="94" spans="1:19" s="26" customFormat="1" ht="12" x14ac:dyDescent="0.15">
      <c r="A94" s="28" t="s">
        <v>34</v>
      </c>
      <c r="B94" s="18">
        <f>29-43</f>
        <v>-14</v>
      </c>
      <c r="C94" s="18">
        <f>-38-38</f>
        <v>-76</v>
      </c>
      <c r="D94" s="18">
        <f>-51-53-6</f>
        <v>-110</v>
      </c>
      <c r="E94" s="18">
        <f>110+0-75+17</f>
        <v>52</v>
      </c>
      <c r="F94" s="18">
        <f>3-115-102+6</f>
        <v>-208</v>
      </c>
      <c r="G94" s="18">
        <f>-45-167-107+26</f>
        <v>-293</v>
      </c>
      <c r="H94" s="18">
        <f>-333+46</f>
        <v>-287</v>
      </c>
      <c r="I94" s="26">
        <v>-250</v>
      </c>
      <c r="J94" s="26">
        <v>-250</v>
      </c>
      <c r="K94" s="26">
        <v>-250</v>
      </c>
      <c r="L94" s="26">
        <v>-250</v>
      </c>
      <c r="M94" s="26">
        <v>-250</v>
      </c>
    </row>
    <row r="95" spans="1:19" x14ac:dyDescent="0.15">
      <c r="A95" s="25"/>
      <c r="B95" s="29"/>
      <c r="C95" s="29"/>
      <c r="D95" s="29"/>
      <c r="E95" s="29"/>
      <c r="F95" s="29"/>
      <c r="G95" s="29"/>
    </row>
    <row r="96" spans="1:19" ht="12" x14ac:dyDescent="0.15">
      <c r="A96" s="5" t="s">
        <v>35</v>
      </c>
      <c r="B96" s="30">
        <f>SUM(B13+B24+B57+B68+B79+B82+B93)</f>
        <v>13738</v>
      </c>
      <c r="C96" s="30">
        <f>SUM(C2+C13+C24+C57+C68+C79+C82+C93)</f>
        <v>15028</v>
      </c>
      <c r="D96" s="30">
        <f>SUM(D2+D13+D24+D57+D68+D79+D82+D93)</f>
        <v>18567</v>
      </c>
      <c r="E96" s="30">
        <f>SUM(E2+E13+E24+E57+E68+E79+E82+E93)</f>
        <v>22611</v>
      </c>
      <c r="F96" s="30">
        <f t="shared" ref="F96:M96" si="59">SUM(F2+F13+F24+F35+F46+F57+F68+F79+F93)</f>
        <v>25550</v>
      </c>
      <c r="G96" s="30">
        <f t="shared" si="59"/>
        <v>25886</v>
      </c>
      <c r="H96" s="30">
        <f t="shared" si="59"/>
        <v>28145</v>
      </c>
      <c r="I96" s="30">
        <f t="shared" si="59"/>
        <v>28911.466800000002</v>
      </c>
      <c r="J96" s="30">
        <f t="shared" si="59"/>
        <v>31710.4948401</v>
      </c>
      <c r="K96" s="30">
        <f t="shared" si="59"/>
        <v>34825.568265570728</v>
      </c>
      <c r="L96" s="30">
        <f t="shared" si="59"/>
        <v>38451.770188651077</v>
      </c>
      <c r="M96" s="30">
        <f t="shared" si="59"/>
        <v>42230.068667124062</v>
      </c>
      <c r="N96" s="31"/>
      <c r="O96" s="9">
        <f>(H96/C96)^(1/5)-1</f>
        <v>0.13370487287917476</v>
      </c>
      <c r="P96" s="9">
        <f>(M96/H96)^(1/5)-1</f>
        <v>8.4536335616798963E-2</v>
      </c>
      <c r="Q96" s="9">
        <f>(M96/I96)^(1/4)-1</f>
        <v>9.9354897403484577E-2</v>
      </c>
    </row>
    <row r="97" spans="1:17" ht="12" x14ac:dyDescent="0.15">
      <c r="A97" s="10" t="s">
        <v>18</v>
      </c>
      <c r="C97" s="11">
        <f>(C96/B96)-1</f>
        <v>9.3900131023438638E-2</v>
      </c>
      <c r="D97" s="11">
        <f>(D96/C96)-1</f>
        <v>0.23549374500931597</v>
      </c>
      <c r="E97" s="11">
        <f>(E96/D96)-1</f>
        <v>0.21780578445629351</v>
      </c>
      <c r="F97" s="11">
        <f>(F96/E96)-1</f>
        <v>0.12998098270753178</v>
      </c>
      <c r="G97" s="11">
        <f>(G96/F96)-1</f>
        <v>1.315068493150684E-2</v>
      </c>
      <c r="H97" s="11">
        <f t="shared" ref="H97:M97" si="60">(H96/G96)-1</f>
        <v>8.7267248705864109E-2</v>
      </c>
      <c r="I97" s="11">
        <f t="shared" si="60"/>
        <v>2.7232787351217036E-2</v>
      </c>
      <c r="J97" s="11">
        <f t="shared" si="60"/>
        <v>9.6813768027155245E-2</v>
      </c>
      <c r="K97" s="11">
        <f t="shared" si="60"/>
        <v>9.8234778144537627E-2</v>
      </c>
      <c r="L97" s="11">
        <f t="shared" si="60"/>
        <v>0.10412470215641201</v>
      </c>
      <c r="M97" s="11">
        <f t="shared" si="60"/>
        <v>9.8260716215040178E-2</v>
      </c>
      <c r="N97" s="11"/>
      <c r="O97" s="11"/>
      <c r="P97" s="11"/>
      <c r="Q97" s="11"/>
    </row>
    <row r="98" spans="1:17" ht="11" x14ac:dyDescent="0.15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</row>
    <row r="99" spans="1:17" s="37" customFormat="1" ht="12" x14ac:dyDescent="0.15">
      <c r="A99" s="34" t="s">
        <v>36</v>
      </c>
      <c r="B99" s="35">
        <f>SUM(B15+B26+B59+B70+B84+B94)</f>
        <v>1813</v>
      </c>
      <c r="C99" s="35">
        <f t="shared" ref="C99:E99" si="61">SUM(C15+C26+C59+C70+C84+C94)</f>
        <v>1876</v>
      </c>
      <c r="D99" s="35">
        <f t="shared" si="61"/>
        <v>2355</v>
      </c>
      <c r="E99" s="35">
        <f t="shared" si="61"/>
        <v>2942</v>
      </c>
      <c r="F99" s="35">
        <f t="shared" ref="F99:M99" si="62">SUM(F4+F15+F26+F37+F48+F59+F70+F94)</f>
        <v>3599</v>
      </c>
      <c r="G99" s="35">
        <f>SUM(G4+G15+G26+G37+G48+G59+G70+G94)</f>
        <v>3415</v>
      </c>
      <c r="H99" s="35">
        <f>SUM(H4+H15+H26+H37+H48+H59+H70+H94)</f>
        <v>3648</v>
      </c>
      <c r="I99" s="35">
        <f t="shared" si="62"/>
        <v>3768.9095000000002</v>
      </c>
      <c r="J99" s="35">
        <f t="shared" si="62"/>
        <v>4201.2986585300005</v>
      </c>
      <c r="K99" s="35">
        <f t="shared" si="62"/>
        <v>4677.2059155282168</v>
      </c>
      <c r="L99" s="35">
        <f t="shared" si="62"/>
        <v>5225.0032796279966</v>
      </c>
      <c r="M99" s="35">
        <f t="shared" si="62"/>
        <v>5823.6744338794979</v>
      </c>
      <c r="N99" s="36"/>
      <c r="O99" s="9">
        <f>(H99/C99)^(1/5)-1</f>
        <v>0.14225850164346099</v>
      </c>
      <c r="P99" s="9">
        <f>(M99/H99)^(1/5)-1</f>
        <v>9.8066018335787541E-2</v>
      </c>
      <c r="Q99" s="9">
        <f>(M99/I99)^(1/4)-1</f>
        <v>0.11492420671170356</v>
      </c>
    </row>
    <row r="100" spans="1:17" ht="12" x14ac:dyDescent="0.15">
      <c r="A100" s="10" t="s">
        <v>18</v>
      </c>
      <c r="C100" s="11">
        <f>(C99/B99)-1</f>
        <v>3.474903474903468E-2</v>
      </c>
      <c r="D100" s="11">
        <f>(D99/C99)-1</f>
        <v>0.25533049040511724</v>
      </c>
      <c r="E100" s="11">
        <f>(E99/D99)-1</f>
        <v>0.24925690021231417</v>
      </c>
      <c r="F100" s="11">
        <f>(F99/E99)-1</f>
        <v>0.22331747110808964</v>
      </c>
      <c r="G100" s="11">
        <f>(G99/F99)-1</f>
        <v>-5.112531258682973E-2</v>
      </c>
      <c r="H100" s="11">
        <f t="shared" ref="H100:M100" si="63">(H99/G99)-1</f>
        <v>6.8228404099560658E-2</v>
      </c>
      <c r="I100" s="11">
        <f t="shared" si="63"/>
        <v>3.3144051535087815E-2</v>
      </c>
      <c r="J100" s="11">
        <f t="shared" si="63"/>
        <v>0.11472526961180685</v>
      </c>
      <c r="K100" s="11">
        <f t="shared" si="63"/>
        <v>0.11327622615735011</v>
      </c>
      <c r="L100" s="11">
        <f t="shared" si="63"/>
        <v>0.11712064296359181</v>
      </c>
      <c r="M100" s="11">
        <f t="shared" si="63"/>
        <v>0.11457813942159367</v>
      </c>
      <c r="N100" s="11"/>
      <c r="O100" s="11"/>
      <c r="P100" s="11"/>
      <c r="Q100" s="11"/>
    </row>
    <row r="101" spans="1:17" ht="11" x14ac:dyDescent="0.15">
      <c r="A101" s="10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ht="12" x14ac:dyDescent="0.15">
      <c r="A102" s="10" t="s">
        <v>22</v>
      </c>
      <c r="B102" s="26">
        <f>B8+B19+B30+B41+B52+B63+B74+B88</f>
        <v>10620</v>
      </c>
      <c r="C102" s="26">
        <f t="shared" ref="C102:M102" si="64">C8+C19+C30+C41+C52+C63+C74+C88</f>
        <v>14584</v>
      </c>
      <c r="D102" s="26">
        <f t="shared" si="64"/>
        <v>16254</v>
      </c>
      <c r="E102" s="26">
        <f t="shared" si="64"/>
        <v>20558</v>
      </c>
      <c r="F102" s="26">
        <f t="shared" si="64"/>
        <v>23383</v>
      </c>
      <c r="G102" s="26">
        <f t="shared" si="64"/>
        <v>24561</v>
      </c>
      <c r="H102" s="26">
        <f t="shared" si="64"/>
        <v>28248</v>
      </c>
      <c r="I102" s="26">
        <f t="shared" si="64"/>
        <v>29828.693399999996</v>
      </c>
      <c r="J102" s="26">
        <f t="shared" si="64"/>
        <v>32919.795544979999</v>
      </c>
      <c r="K102" s="26">
        <f t="shared" si="64"/>
        <v>36073.675011629413</v>
      </c>
      <c r="L102" s="26">
        <f t="shared" si="64"/>
        <v>39782.181992717844</v>
      </c>
      <c r="M102" s="26">
        <f t="shared" si="64"/>
        <v>43636.469984655101</v>
      </c>
      <c r="N102" s="11"/>
      <c r="O102" s="11"/>
      <c r="P102" s="11"/>
      <c r="Q102" s="11"/>
    </row>
    <row r="103" spans="1:17" ht="12" x14ac:dyDescent="0.15">
      <c r="A103" s="10" t="s">
        <v>18</v>
      </c>
      <c r="B103" s="7"/>
      <c r="C103" s="11">
        <f t="shared" ref="C103:H103" si="65">(C102/B102)-1</f>
        <v>0.37325800376647833</v>
      </c>
      <c r="D103" s="11">
        <f t="shared" si="65"/>
        <v>0.11450905101481079</v>
      </c>
      <c r="E103" s="11">
        <f t="shared" si="65"/>
        <v>0.26479635781961353</v>
      </c>
      <c r="F103" s="11">
        <f t="shared" si="65"/>
        <v>0.13741609105944153</v>
      </c>
      <c r="G103" s="11">
        <f t="shared" si="65"/>
        <v>5.0378480092374778E-2</v>
      </c>
      <c r="H103" s="11">
        <f t="shared" si="65"/>
        <v>0.15011603762061809</v>
      </c>
      <c r="I103" s="12">
        <v>-6.59E-2</v>
      </c>
      <c r="J103" s="12">
        <v>9.8699999999999996E-2</v>
      </c>
      <c r="K103" s="12">
        <v>0.1023</v>
      </c>
      <c r="L103" s="12">
        <v>0.1076</v>
      </c>
      <c r="M103" s="12">
        <v>0.1043</v>
      </c>
      <c r="N103" s="12"/>
      <c r="O103" s="12"/>
      <c r="P103" s="12"/>
      <c r="Q103" s="12"/>
    </row>
    <row r="104" spans="1:17" ht="12" x14ac:dyDescent="0.15">
      <c r="A104" s="10" t="s">
        <v>23</v>
      </c>
      <c r="B104" s="12">
        <f>B99/B102</f>
        <v>0.1707156308851224</v>
      </c>
      <c r="C104" s="12">
        <f t="shared" ref="C104:M104" si="66">C99/C102</f>
        <v>0.12863411958310478</v>
      </c>
      <c r="D104" s="12">
        <f t="shared" si="66"/>
        <v>0.1448874123292728</v>
      </c>
      <c r="E104" s="12">
        <f t="shared" si="66"/>
        <v>0.14310730615818659</v>
      </c>
      <c r="F104" s="12">
        <f t="shared" si="66"/>
        <v>0.1539152375657529</v>
      </c>
      <c r="G104" s="12">
        <f t="shared" si="66"/>
        <v>0.1390415699686495</v>
      </c>
      <c r="H104" s="12">
        <f t="shared" si="66"/>
        <v>0.12914188615123195</v>
      </c>
      <c r="I104" s="12">
        <f t="shared" si="66"/>
        <v>0.12635181331811204</v>
      </c>
      <c r="J104" s="12">
        <f t="shared" si="66"/>
        <v>0.12762225855229117</v>
      </c>
      <c r="K104" s="12">
        <f t="shared" si="66"/>
        <v>0.12965703976709836</v>
      </c>
      <c r="L104" s="12">
        <f t="shared" si="66"/>
        <v>0.1313402889912986</v>
      </c>
      <c r="M104" s="12">
        <f t="shared" si="66"/>
        <v>0.13345888051731525</v>
      </c>
    </row>
    <row r="105" spans="1:17" ht="11" x14ac:dyDescent="0.15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</row>
    <row r="106" spans="1:17" ht="12" x14ac:dyDescent="0.15">
      <c r="A106" s="34" t="s">
        <v>37</v>
      </c>
      <c r="B106" s="39">
        <v>28798</v>
      </c>
      <c r="C106" s="39">
        <v>34493</v>
      </c>
      <c r="D106" s="39">
        <v>47964</v>
      </c>
      <c r="E106" s="39">
        <v>48448</v>
      </c>
      <c r="F106" s="39">
        <v>57676.5</v>
      </c>
      <c r="G106" s="39">
        <v>61087</v>
      </c>
      <c r="H106" s="35">
        <v>64642.5</v>
      </c>
      <c r="I106" s="35">
        <f t="shared" ref="I106:M106" si="67">SUM(I11+I22+I33+I44+I55+I66+I77+I94)</f>
        <v>63518.212399999989</v>
      </c>
      <c r="J106" s="35">
        <f t="shared" si="67"/>
        <v>70562.505028279993</v>
      </c>
      <c r="K106" s="35">
        <f t="shared" si="67"/>
        <v>78229.703459460987</v>
      </c>
      <c r="L106" s="35">
        <f t="shared" si="67"/>
        <v>87062.718905577829</v>
      </c>
      <c r="M106" s="35">
        <f t="shared" si="67"/>
        <v>96713.35660227992</v>
      </c>
      <c r="N106" s="36"/>
      <c r="O106" s="9">
        <f>(H106/C106)^(1/5)-1</f>
        <v>0.13385477968373416</v>
      </c>
      <c r="P106" s="9">
        <f>(M106/H106)^(1/5)-1</f>
        <v>8.3911096728955803E-2</v>
      </c>
      <c r="Q106" s="9">
        <f>(M106/I106)^(1/4)-1</f>
        <v>0.11082858597610046</v>
      </c>
    </row>
    <row r="108" spans="1:17" ht="12" x14ac:dyDescent="0.15">
      <c r="A108" s="34" t="s">
        <v>38</v>
      </c>
      <c r="B108" s="7">
        <v>4587.3999999999996</v>
      </c>
      <c r="C108" s="7">
        <v>3740.3</v>
      </c>
      <c r="D108" s="7">
        <v>3728</v>
      </c>
      <c r="E108" s="7">
        <v>4512</v>
      </c>
      <c r="F108" s="7">
        <v>7097</v>
      </c>
      <c r="G108" s="7">
        <v>7099</v>
      </c>
      <c r="H108" s="7">
        <v>6874</v>
      </c>
      <c r="I108" s="8">
        <f>H108*(1+I109)</f>
        <v>6893.2471999999998</v>
      </c>
      <c r="J108" s="8">
        <f t="shared" ref="J108:M108" si="68">I108*(1+J109)</f>
        <v>7609.4555840800003</v>
      </c>
      <c r="K108" s="8">
        <f t="shared" si="68"/>
        <v>8247.8889075843126</v>
      </c>
      <c r="L108" s="8">
        <f t="shared" si="68"/>
        <v>8869.7797312161692</v>
      </c>
      <c r="M108" s="8">
        <f t="shared" si="68"/>
        <v>9659.1901272944087</v>
      </c>
      <c r="N108" s="8"/>
      <c r="O108" s="9">
        <f>(H108/C108)^(1/5)-1</f>
        <v>0.12943337765850083</v>
      </c>
      <c r="P108" s="9">
        <f>(M108/H108)^(1/5)-1</f>
        <v>7.0400337511916211E-2</v>
      </c>
      <c r="Q108" s="9">
        <f>(M108/I108)^(1/4)-1</f>
        <v>8.8000801717846411E-2</v>
      </c>
    </row>
    <row r="109" spans="1:17" ht="12" x14ac:dyDescent="0.15">
      <c r="A109" s="10" t="s">
        <v>18</v>
      </c>
      <c r="B109" s="7"/>
      <c r="C109" s="11">
        <f t="shared" ref="C109:H109" si="69">(C108/B108)-1</f>
        <v>-0.18465797619566626</v>
      </c>
      <c r="D109" s="11">
        <f t="shared" si="69"/>
        <v>-3.2885062695505729E-3</v>
      </c>
      <c r="E109" s="11">
        <f t="shared" si="69"/>
        <v>0.21030042918454939</v>
      </c>
      <c r="F109" s="11">
        <f t="shared" si="69"/>
        <v>0.57291666666666674</v>
      </c>
      <c r="G109" s="11">
        <f t="shared" si="69"/>
        <v>2.8180921516129942E-4</v>
      </c>
      <c r="H109" s="11">
        <f t="shared" si="69"/>
        <v>-3.1694604873925947E-2</v>
      </c>
      <c r="I109" s="12">
        <v>2.8E-3</v>
      </c>
      <c r="J109" s="12">
        <v>0.10390000000000001</v>
      </c>
      <c r="K109" s="12">
        <v>8.3900000000000002E-2</v>
      </c>
      <c r="L109" s="12">
        <v>7.5399999999999995E-2</v>
      </c>
      <c r="M109" s="12">
        <v>8.8999999999999996E-2</v>
      </c>
      <c r="N109" s="12"/>
      <c r="O109" s="12"/>
      <c r="P109" s="12"/>
      <c r="Q109" s="12"/>
    </row>
    <row r="110" spans="1:17" ht="12" x14ac:dyDescent="0.15">
      <c r="A110" s="32" t="s">
        <v>39</v>
      </c>
      <c r="B110" s="7">
        <v>584.6</v>
      </c>
      <c r="C110" s="7">
        <v>280.8</v>
      </c>
      <c r="D110" s="7">
        <v>447</v>
      </c>
      <c r="E110" s="7">
        <v>585</v>
      </c>
      <c r="F110" s="7">
        <v>865</v>
      </c>
      <c r="G110" s="7">
        <v>980</v>
      </c>
      <c r="H110" s="7">
        <v>940</v>
      </c>
      <c r="I110" s="8">
        <f>H110*(1+I111)</f>
        <v>899.39199999999994</v>
      </c>
      <c r="J110" s="8">
        <f t="shared" ref="J110:M110" si="70">I110*(1+J111)</f>
        <v>1010.1970943999999</v>
      </c>
      <c r="K110" s="8">
        <f t="shared" si="70"/>
        <v>1092.0230590463998</v>
      </c>
      <c r="L110" s="8">
        <f t="shared" si="70"/>
        <v>1173.1603723335472</v>
      </c>
      <c r="M110" s="8">
        <f t="shared" si="70"/>
        <v>1278.2755416946329</v>
      </c>
      <c r="N110" s="8"/>
      <c r="O110" s="9">
        <f>(H110/C110)^(1/5)-1</f>
        <v>0.27334518388429108</v>
      </c>
      <c r="P110" s="9">
        <f>(M110/H110)^(1/5)-1</f>
        <v>6.3406535638983241E-2</v>
      </c>
      <c r="Q110" s="9">
        <f>(M110/I110)^(1/4)-1</f>
        <v>9.1864798775600054E-2</v>
      </c>
    </row>
    <row r="111" spans="1:17" ht="12" x14ac:dyDescent="0.15">
      <c r="A111" s="10" t="s">
        <v>18</v>
      </c>
      <c r="C111" s="11">
        <f t="shared" ref="C111:H111" si="71">(C110/B110)-1</f>
        <v>-0.51967157030448163</v>
      </c>
      <c r="D111" s="11">
        <f t="shared" si="71"/>
        <v>0.59188034188034178</v>
      </c>
      <c r="E111" s="11">
        <f t="shared" si="71"/>
        <v>0.3087248322147651</v>
      </c>
      <c r="F111" s="11">
        <f t="shared" si="71"/>
        <v>0.47863247863247871</v>
      </c>
      <c r="G111" s="11">
        <f t="shared" si="71"/>
        <v>0.13294797687861282</v>
      </c>
      <c r="H111" s="11">
        <f t="shared" si="71"/>
        <v>-4.081632653061229E-2</v>
      </c>
      <c r="I111" s="12">
        <v>-4.3200000000000002E-2</v>
      </c>
      <c r="J111" s="12">
        <v>0.1232</v>
      </c>
      <c r="K111" s="12">
        <v>8.1000000000000003E-2</v>
      </c>
      <c r="L111" s="12">
        <v>7.4300000000000005E-2</v>
      </c>
      <c r="M111" s="12">
        <v>8.9599999999999999E-2</v>
      </c>
      <c r="N111" s="12"/>
      <c r="O111" s="12"/>
      <c r="P111" s="12"/>
      <c r="Q111" s="12"/>
    </row>
    <row r="112" spans="1:17" ht="12" x14ac:dyDescent="0.15">
      <c r="A112" s="10" t="s">
        <v>20</v>
      </c>
      <c r="B112" s="12">
        <f>B110/B108</f>
        <v>0.12743602040371454</v>
      </c>
      <c r="C112" s="12">
        <f>C110/C108</f>
        <v>7.5074191909739865E-2</v>
      </c>
      <c r="D112" s="12">
        <f t="shared" ref="D112:M112" si="72">D110/D108</f>
        <v>0.11990343347639484</v>
      </c>
      <c r="E112" s="12">
        <f t="shared" si="72"/>
        <v>0.12965425531914893</v>
      </c>
      <c r="F112" s="12">
        <f t="shared" si="72"/>
        <v>0.12188248555727772</v>
      </c>
      <c r="G112" s="12">
        <f t="shared" si="72"/>
        <v>0.13804761233976617</v>
      </c>
      <c r="H112" s="12">
        <f t="shared" si="72"/>
        <v>0.13674716322374164</v>
      </c>
      <c r="I112" s="12">
        <f t="shared" si="72"/>
        <v>0.13047435757127643</v>
      </c>
      <c r="J112" s="12">
        <f t="shared" si="72"/>
        <v>0.13275550178825768</v>
      </c>
      <c r="K112" s="12">
        <f t="shared" si="72"/>
        <v>0.13240031131387262</v>
      </c>
      <c r="L112" s="12">
        <f t="shared" si="72"/>
        <v>0.13226488231773606</v>
      </c>
      <c r="M112" s="12">
        <f t="shared" si="72"/>
        <v>0.13233775553113425</v>
      </c>
      <c r="N112" s="12"/>
      <c r="O112" s="12"/>
      <c r="P112" s="12"/>
      <c r="Q112" s="12"/>
    </row>
    <row r="113" spans="1:17" ht="12" x14ac:dyDescent="0.15">
      <c r="A113" s="32" t="s">
        <v>40</v>
      </c>
      <c r="B113" s="7">
        <v>394</v>
      </c>
      <c r="C113" s="7">
        <v>182.7</v>
      </c>
      <c r="D113" s="7">
        <v>308</v>
      </c>
      <c r="E113" s="7">
        <v>376</v>
      </c>
      <c r="F113" s="7">
        <v>515</v>
      </c>
      <c r="G113" s="7">
        <v>623</v>
      </c>
      <c r="H113" s="7">
        <v>604</v>
      </c>
      <c r="I113" s="8">
        <f>H113*(1+I114)</f>
        <v>553.74720000000002</v>
      </c>
      <c r="J113" s="8">
        <f t="shared" ref="J113:M113" si="73">I113*(1+J114)</f>
        <v>611.50303296000004</v>
      </c>
      <c r="K113" s="8">
        <f t="shared" si="73"/>
        <v>660.48442590009608</v>
      </c>
      <c r="L113" s="8">
        <f t="shared" si="73"/>
        <v>710.15285472778328</v>
      </c>
      <c r="M113" s="8">
        <f t="shared" si="73"/>
        <v>773.35645879855599</v>
      </c>
      <c r="N113" s="8"/>
      <c r="O113" s="9">
        <f>(H113/C113)^(1/5)-1</f>
        <v>0.27016364552072702</v>
      </c>
      <c r="P113" s="9">
        <f>(M113/H113)^(1/5)-1</f>
        <v>5.0675379795629638E-2</v>
      </c>
      <c r="Q113" s="9">
        <f>(M113/I113)^(1/4)-1</f>
        <v>8.7093861527684613E-2</v>
      </c>
    </row>
    <row r="114" spans="1:17" ht="12" x14ac:dyDescent="0.15">
      <c r="A114" s="10" t="s">
        <v>18</v>
      </c>
      <c r="C114" s="11">
        <f t="shared" ref="C114:H114" si="74">(C113/B113)-1</f>
        <v>-0.53629441624365493</v>
      </c>
      <c r="D114" s="11">
        <f t="shared" si="74"/>
        <v>0.68582375478927204</v>
      </c>
      <c r="E114" s="11">
        <f t="shared" si="74"/>
        <v>0.22077922077922074</v>
      </c>
      <c r="F114" s="11">
        <f t="shared" si="74"/>
        <v>0.36968085106382986</v>
      </c>
      <c r="G114" s="11">
        <f t="shared" si="74"/>
        <v>0.20970873786407762</v>
      </c>
      <c r="H114" s="11">
        <f t="shared" si="74"/>
        <v>-3.04975922953451E-2</v>
      </c>
      <c r="I114" s="12">
        <v>-8.3199999999999996E-2</v>
      </c>
      <c r="J114" s="12">
        <v>0.1043</v>
      </c>
      <c r="K114" s="12">
        <v>8.0100000000000005E-2</v>
      </c>
      <c r="L114" s="12">
        <v>7.5200000000000003E-2</v>
      </c>
      <c r="M114" s="12">
        <v>8.8999999999999996E-2</v>
      </c>
      <c r="N114" s="12"/>
      <c r="O114" s="12"/>
      <c r="P114" s="12"/>
      <c r="Q114" s="12"/>
    </row>
    <row r="115" spans="1:17" ht="12" x14ac:dyDescent="0.15">
      <c r="A115" s="40" t="s">
        <v>41</v>
      </c>
      <c r="B115" s="41">
        <v>0.29260400000000003</v>
      </c>
      <c r="C115" s="41">
        <v>0.29574280000000003</v>
      </c>
      <c r="D115" s="41">
        <v>0.29734959999999999</v>
      </c>
      <c r="E115" s="41">
        <v>0.29822090000000001</v>
      </c>
      <c r="F115" s="41">
        <v>0.29799999999999999</v>
      </c>
      <c r="G115" s="41">
        <v>0.29799999999999999</v>
      </c>
      <c r="H115" s="41">
        <v>0.29799999999999999</v>
      </c>
      <c r="I115" s="41">
        <v>0.29799999999999999</v>
      </c>
      <c r="J115" s="41">
        <v>0.29799999999999999</v>
      </c>
      <c r="K115" s="41">
        <v>0.29799999999999999</v>
      </c>
      <c r="L115" s="41">
        <v>0.29799999999999999</v>
      </c>
      <c r="M115" s="41">
        <v>0.29799999999999999</v>
      </c>
      <c r="N115" s="41"/>
      <c r="O115" s="41"/>
      <c r="P115" s="41"/>
      <c r="Q115" s="41"/>
    </row>
    <row r="116" spans="1:17" ht="12" x14ac:dyDescent="0.15">
      <c r="A116" s="32" t="s">
        <v>42</v>
      </c>
      <c r="B116" s="42">
        <v>16.8</v>
      </c>
      <c r="C116" s="42">
        <v>32.200000000000003</v>
      </c>
      <c r="D116" s="42">
        <v>23.4</v>
      </c>
      <c r="E116" s="42">
        <v>11.9</v>
      </c>
      <c r="F116" s="42">
        <v>11.3</v>
      </c>
      <c r="G116" s="42">
        <v>22.7</v>
      </c>
      <c r="H116" s="43">
        <f>H117/H113</f>
        <v>25.441371854304634</v>
      </c>
      <c r="I116" s="43">
        <v>18</v>
      </c>
      <c r="J116" s="43">
        <v>18</v>
      </c>
      <c r="K116" s="43">
        <v>18</v>
      </c>
      <c r="L116" s="43">
        <v>18</v>
      </c>
      <c r="M116" s="43">
        <v>18</v>
      </c>
      <c r="N116" s="43"/>
      <c r="O116" s="43"/>
      <c r="P116" s="43"/>
      <c r="Q116" s="43"/>
    </row>
    <row r="117" spans="1:17" ht="12" x14ac:dyDescent="0.15">
      <c r="A117" s="32" t="s">
        <v>43</v>
      </c>
      <c r="B117" s="44">
        <v>7560.4373960000003</v>
      </c>
      <c r="C117" s="44">
        <v>7094.6849000000002</v>
      </c>
      <c r="D117" s="44">
        <v>6162.1845999999996</v>
      </c>
      <c r="E117" s="44">
        <v>4006.6064310000002</v>
      </c>
      <c r="F117" s="44">
        <v>8770.7840500000002</v>
      </c>
      <c r="G117" s="44">
        <v>12424.500700000002</v>
      </c>
      <c r="H117" s="45">
        <v>15366.588599999999</v>
      </c>
      <c r="I117" s="45">
        <f>I116*I113</f>
        <v>9967.4495999999999</v>
      </c>
      <c r="J117" s="45">
        <f t="shared" ref="J117:L117" si="75">J116*J113</f>
        <v>11007.054593280001</v>
      </c>
      <c r="K117" s="45">
        <f t="shared" si="75"/>
        <v>11888.71966620173</v>
      </c>
      <c r="L117" s="45">
        <f t="shared" si="75"/>
        <v>12782.751385100099</v>
      </c>
      <c r="M117" s="45">
        <f>M116*M113</f>
        <v>13920.416258374007</v>
      </c>
      <c r="N117" s="8"/>
      <c r="O117" s="9">
        <f>(H117/C117)^(1/5)-1</f>
        <v>0.16715590211702169</v>
      </c>
      <c r="P117" s="9">
        <f>(M117/H117)^(1/5)-1</f>
        <v>-1.9573702641334956E-2</v>
      </c>
      <c r="Q117" s="9">
        <f>(M117/I117)^(1/4)-1</f>
        <v>8.7093861527684613E-2</v>
      </c>
    </row>
    <row r="118" spans="1:17" ht="12" x14ac:dyDescent="0.15">
      <c r="A118" s="32" t="s">
        <v>44</v>
      </c>
      <c r="B118" s="46">
        <f t="shared" ref="B118:M118" si="76">B117*B115</f>
        <v>2212.2142238191841</v>
      </c>
      <c r="C118" s="46">
        <f t="shared" si="76"/>
        <v>2098.2019774437204</v>
      </c>
      <c r="D118" s="46">
        <f t="shared" si="76"/>
        <v>1832.3231259361598</v>
      </c>
      <c r="E118" s="46">
        <f t="shared" si="76"/>
        <v>1194.853775798608</v>
      </c>
      <c r="F118" s="46">
        <f t="shared" si="76"/>
        <v>2613.6936468999997</v>
      </c>
      <c r="G118" s="46">
        <f t="shared" si="76"/>
        <v>3702.5012086000006</v>
      </c>
      <c r="H118" s="46">
        <f t="shared" si="76"/>
        <v>4579.2434027999998</v>
      </c>
      <c r="I118" s="46">
        <f t="shared" si="76"/>
        <v>2970.2999808</v>
      </c>
      <c r="J118" s="46">
        <f t="shared" si="76"/>
        <v>3280.1022687974405</v>
      </c>
      <c r="K118" s="46">
        <f t="shared" si="76"/>
        <v>3542.8384605281153</v>
      </c>
      <c r="L118" s="46">
        <f t="shared" si="76"/>
        <v>3809.2599127598291</v>
      </c>
      <c r="M118" s="46">
        <f t="shared" si="76"/>
        <v>4148.2840449954538</v>
      </c>
      <c r="N118" s="8"/>
      <c r="O118" s="9">
        <f>(H118/C118)^(1/5)-1</f>
        <v>0.16893210630492628</v>
      </c>
      <c r="P118" s="9">
        <f>(M118/H118)^(1/5)-1</f>
        <v>-1.9573702641334956E-2</v>
      </c>
      <c r="Q118" s="9">
        <f>(M118/I118)^(1/4)-1</f>
        <v>8.7093861527684613E-2</v>
      </c>
    </row>
    <row r="119" spans="1:17" ht="12" x14ac:dyDescent="0.15">
      <c r="A119" s="32" t="s">
        <v>45</v>
      </c>
      <c r="B119" s="46"/>
      <c r="C119" s="46"/>
      <c r="D119" s="46"/>
      <c r="E119" s="46"/>
      <c r="F119" s="46"/>
      <c r="G119" s="46"/>
      <c r="H119" s="47"/>
      <c r="I119" s="47">
        <v>0.5</v>
      </c>
      <c r="J119" s="47">
        <v>0.5</v>
      </c>
      <c r="K119" s="47">
        <v>0.5</v>
      </c>
      <c r="L119" s="47">
        <v>0.5</v>
      </c>
      <c r="M119" s="47">
        <v>0.5</v>
      </c>
      <c r="N119" s="47"/>
      <c r="O119" s="47"/>
      <c r="P119" s="47"/>
      <c r="Q119" s="47"/>
    </row>
    <row r="120" spans="1:17" x14ac:dyDescent="0.15">
      <c r="A120" s="32" t="s">
        <v>46</v>
      </c>
      <c r="B120" s="46"/>
      <c r="C120" s="46"/>
      <c r="D120" s="46"/>
      <c r="E120" s="46"/>
      <c r="F120" s="46"/>
      <c r="G120" s="46"/>
      <c r="I120" s="8">
        <f>I119*I113</f>
        <v>276.87360000000001</v>
      </c>
      <c r="J120" s="8">
        <f t="shared" ref="J120:M120" si="77">J119*J113</f>
        <v>305.75151648000002</v>
      </c>
      <c r="K120" s="8">
        <f t="shared" si="77"/>
        <v>330.24221295004804</v>
      </c>
      <c r="L120" s="8">
        <f t="shared" si="77"/>
        <v>355.07642736389164</v>
      </c>
      <c r="M120" s="8">
        <f t="shared" si="77"/>
        <v>386.678229399278</v>
      </c>
      <c r="N120" s="8"/>
      <c r="O120" s="8"/>
      <c r="P120" s="8"/>
      <c r="Q120" s="8"/>
    </row>
    <row r="122" spans="1:17" ht="12" x14ac:dyDescent="0.15">
      <c r="A122" s="34" t="s">
        <v>47</v>
      </c>
      <c r="B122" s="7">
        <v>94029</v>
      </c>
      <c r="C122" s="7">
        <v>87649</v>
      </c>
      <c r="D122" s="7">
        <v>95007</v>
      </c>
      <c r="E122" s="7">
        <v>120793</v>
      </c>
      <c r="F122" s="7">
        <v>140716</v>
      </c>
      <c r="G122" s="7">
        <v>150162</v>
      </c>
      <c r="H122" s="7">
        <v>152409</v>
      </c>
      <c r="I122" s="8">
        <f>H122*(1+I123)</f>
        <v>155228.56649999999</v>
      </c>
      <c r="J122" s="8">
        <f t="shared" ref="J122:M122" si="78">I122*(1+J123)</f>
        <v>169695.86889779998</v>
      </c>
      <c r="K122" s="8">
        <f t="shared" si="78"/>
        <v>186580.60785313108</v>
      </c>
      <c r="L122" s="8">
        <f t="shared" si="78"/>
        <v>205462.56536786794</v>
      </c>
      <c r="M122" s="8">
        <f t="shared" si="78"/>
        <v>224303.48261210142</v>
      </c>
      <c r="N122" s="26"/>
      <c r="O122" s="9">
        <f>(H122/C122)^(1/5)-1</f>
        <v>0.11699885929842613</v>
      </c>
      <c r="P122" s="9">
        <f>(M122/H122)^(1/5)-1</f>
        <v>8.0351503375456712E-2</v>
      </c>
      <c r="Q122" s="9">
        <f>(M122/I122)^(1/4)-1</f>
        <v>9.639259189386995E-2</v>
      </c>
    </row>
    <row r="123" spans="1:17" ht="12" x14ac:dyDescent="0.15">
      <c r="A123" s="10" t="s">
        <v>18</v>
      </c>
      <c r="B123" s="7"/>
      <c r="C123" s="11">
        <f t="shared" ref="C123:H123" si="79">(C122/B122)-1</f>
        <v>-6.7851407544480935E-2</v>
      </c>
      <c r="D123" s="11">
        <f t="shared" si="79"/>
        <v>8.3948476308914E-2</v>
      </c>
      <c r="E123" s="11">
        <f t="shared" si="79"/>
        <v>0.27141158019935374</v>
      </c>
      <c r="F123" s="11">
        <f t="shared" si="79"/>
        <v>0.16493505418360344</v>
      </c>
      <c r="G123" s="11">
        <f t="shared" si="79"/>
        <v>6.7128116205690924E-2</v>
      </c>
      <c r="H123" s="11">
        <f t="shared" si="79"/>
        <v>1.4963839053821815E-2</v>
      </c>
      <c r="I123" s="12">
        <v>1.8499999999999999E-2</v>
      </c>
      <c r="J123" s="12">
        <v>9.3200000000000005E-2</v>
      </c>
      <c r="K123" s="12">
        <v>9.9500000000000005E-2</v>
      </c>
      <c r="L123" s="12">
        <v>0.1012</v>
      </c>
      <c r="M123" s="12">
        <v>9.1700000000000004E-2</v>
      </c>
      <c r="N123" s="12"/>
      <c r="O123" s="12"/>
      <c r="P123" s="12"/>
      <c r="Q123" s="12"/>
    </row>
    <row r="124" spans="1:17" ht="12" x14ac:dyDescent="0.15">
      <c r="A124" s="32" t="s">
        <v>39</v>
      </c>
      <c r="B124" s="7">
        <v>14314</v>
      </c>
      <c r="C124" s="7">
        <v>10516</v>
      </c>
      <c r="D124" s="7">
        <v>14458</v>
      </c>
      <c r="E124" s="7">
        <v>18997</v>
      </c>
      <c r="F124" s="7">
        <v>21440</v>
      </c>
      <c r="G124" s="7">
        <v>24466</v>
      </c>
      <c r="H124" s="7">
        <v>23601</v>
      </c>
      <c r="I124" s="8">
        <f>H124*(1+I125)</f>
        <v>24332.630999999998</v>
      </c>
      <c r="J124" s="8">
        <f t="shared" ref="J124:M124" si="80">I124*(1+J125)</f>
        <v>26546.900420999995</v>
      </c>
      <c r="K124" s="8">
        <f t="shared" si="80"/>
        <v>29156.460732384297</v>
      </c>
      <c r="L124" s="8">
        <f t="shared" si="80"/>
        <v>32083.769389915684</v>
      </c>
      <c r="M124" s="8">
        <f t="shared" si="80"/>
        <v>35035.476173787931</v>
      </c>
      <c r="N124" s="8"/>
      <c r="O124" s="9">
        <f>(H124/C124)^(1/5)-1</f>
        <v>0.17548195201881311</v>
      </c>
      <c r="P124" s="9">
        <f>(M124/H124)^(1/5)-1</f>
        <v>8.2219920878636055E-2</v>
      </c>
      <c r="Q124" s="9">
        <f>(M124/I124)^(1/4)-1</f>
        <v>9.5417660888841294E-2</v>
      </c>
    </row>
    <row r="125" spans="1:17" ht="12" x14ac:dyDescent="0.15">
      <c r="A125" s="10" t="s">
        <v>18</v>
      </c>
      <c r="B125" s="7"/>
      <c r="C125" s="11">
        <f t="shared" ref="C125:H125" si="81">(C124/B124)-1</f>
        <v>-0.26533463741791252</v>
      </c>
      <c r="D125" s="11">
        <f t="shared" si="81"/>
        <v>0.37485736021300875</v>
      </c>
      <c r="E125" s="11">
        <f t="shared" si="81"/>
        <v>0.3139438373218979</v>
      </c>
      <c r="F125" s="11">
        <f t="shared" si="81"/>
        <v>0.12859925251355486</v>
      </c>
      <c r="G125" s="11">
        <f t="shared" si="81"/>
        <v>0.14113805970149262</v>
      </c>
      <c r="H125" s="11">
        <f t="shared" si="81"/>
        <v>-3.5355186789830739E-2</v>
      </c>
      <c r="I125" s="11">
        <v>3.1E-2</v>
      </c>
      <c r="J125" s="11">
        <v>9.0999999999999998E-2</v>
      </c>
      <c r="K125" s="11">
        <v>9.8299999999999998E-2</v>
      </c>
      <c r="L125" s="11">
        <v>0.1004</v>
      </c>
      <c r="M125" s="11">
        <v>9.1999999999999998E-2</v>
      </c>
      <c r="N125" s="11"/>
      <c r="O125" s="12"/>
      <c r="P125" s="12"/>
      <c r="Q125" s="12"/>
    </row>
    <row r="126" spans="1:17" ht="12" x14ac:dyDescent="0.15">
      <c r="A126" s="10" t="s">
        <v>20</v>
      </c>
      <c r="B126" s="12">
        <f>B124/B122</f>
        <v>0.15222963128396558</v>
      </c>
      <c r="C126" s="12">
        <f>C124/C122</f>
        <v>0.11997855081061963</v>
      </c>
      <c r="D126" s="12">
        <f t="shared" ref="D126:M126" si="82">D124/D122</f>
        <v>0.15217826054922268</v>
      </c>
      <c r="E126" s="12">
        <f t="shared" si="82"/>
        <v>0.15726904704742825</v>
      </c>
      <c r="F126" s="12">
        <f t="shared" si="82"/>
        <v>0.15236362602689105</v>
      </c>
      <c r="G126" s="12">
        <f t="shared" si="82"/>
        <v>0.16293070150903691</v>
      </c>
      <c r="H126" s="12">
        <f t="shared" si="82"/>
        <v>0.15485305985866976</v>
      </c>
      <c r="I126" s="12">
        <f t="shared" si="82"/>
        <v>0.15675356378427935</v>
      </c>
      <c r="J126" s="12">
        <f t="shared" si="82"/>
        <v>0.15643810655749063</v>
      </c>
      <c r="K126" s="12">
        <f t="shared" si="82"/>
        <v>0.15626736919699136</v>
      </c>
      <c r="L126" s="12">
        <f t="shared" si="82"/>
        <v>0.15615384404683008</v>
      </c>
      <c r="M126" s="12">
        <f t="shared" si="82"/>
        <v>0.15619675524332555</v>
      </c>
      <c r="N126" s="12"/>
      <c r="O126" s="12"/>
      <c r="P126" s="12"/>
      <c r="Q126" s="12"/>
    </row>
    <row r="127" spans="1:17" ht="12" x14ac:dyDescent="0.15">
      <c r="A127" s="32" t="s">
        <v>40</v>
      </c>
      <c r="B127" s="7">
        <v>9993</v>
      </c>
      <c r="C127" s="7">
        <v>9171</v>
      </c>
      <c r="D127" s="7">
        <v>10900</v>
      </c>
      <c r="E127" s="7">
        <v>13291</v>
      </c>
      <c r="F127" s="7">
        <v>13633</v>
      </c>
      <c r="G127" s="7">
        <v>15639</v>
      </c>
      <c r="H127" s="7">
        <v>14701</v>
      </c>
      <c r="I127" s="8">
        <f>H127*(1+I128)</f>
        <v>16071.133199999998</v>
      </c>
      <c r="J127" s="8">
        <f t="shared" ref="J127:M127" si="83">I127*(1+J128)</f>
        <v>17408.251482239997</v>
      </c>
      <c r="K127" s="8">
        <f t="shared" si="83"/>
        <v>18995.884017420285</v>
      </c>
      <c r="L127" s="8">
        <f t="shared" si="83"/>
        <v>20891.673242358833</v>
      </c>
      <c r="M127" s="8">
        <f t="shared" si="83"/>
        <v>22801.172176710428</v>
      </c>
      <c r="N127" s="8"/>
      <c r="O127" s="9">
        <f>(H127/C127)^(1/5)-1</f>
        <v>9.8970505433261913E-2</v>
      </c>
      <c r="P127" s="9">
        <f>(M127/H127)^(1/5)-1</f>
        <v>9.1747130949972444E-2</v>
      </c>
      <c r="Q127" s="9">
        <f>(M127/I127)^(1/4)-1</f>
        <v>9.1384215486400411E-2</v>
      </c>
    </row>
    <row r="128" spans="1:17" ht="12" x14ac:dyDescent="0.15">
      <c r="A128" s="10" t="s">
        <v>18</v>
      </c>
      <c r="C128" s="11">
        <f t="shared" ref="C128:H128" si="84">(C127/B127)-1</f>
        <v>-8.2257580306214328E-2</v>
      </c>
      <c r="D128" s="11">
        <f t="shared" si="84"/>
        <v>0.18852905899029548</v>
      </c>
      <c r="E128" s="11">
        <f t="shared" si="84"/>
        <v>0.21935779816513756</v>
      </c>
      <c r="F128" s="11">
        <f t="shared" si="84"/>
        <v>2.573169814159959E-2</v>
      </c>
      <c r="G128" s="11">
        <f t="shared" si="84"/>
        <v>0.14714296193060949</v>
      </c>
      <c r="H128" s="11">
        <f t="shared" si="84"/>
        <v>-5.9978259479506413E-2</v>
      </c>
      <c r="I128" s="12">
        <v>9.3200000000000005E-2</v>
      </c>
      <c r="J128" s="12">
        <v>8.3199999999999996E-2</v>
      </c>
      <c r="K128" s="12">
        <v>9.1200000000000003E-2</v>
      </c>
      <c r="L128" s="12">
        <v>9.98E-2</v>
      </c>
      <c r="M128" s="12">
        <v>9.1399999999999995E-2</v>
      </c>
      <c r="N128" s="12"/>
      <c r="O128" s="12"/>
      <c r="P128" s="12"/>
      <c r="Q128" s="12"/>
    </row>
    <row r="129" spans="1:17" ht="12" x14ac:dyDescent="0.15">
      <c r="A129" s="40" t="s">
        <v>41</v>
      </c>
      <c r="B129" s="47">
        <v>9.4974799999999998E-2</v>
      </c>
      <c r="C129" s="47">
        <v>9.4974799999999998E-2</v>
      </c>
      <c r="D129" s="47">
        <v>9.4974799999999998E-2</v>
      </c>
      <c r="E129" s="47">
        <v>9.4974799999999998E-2</v>
      </c>
      <c r="F129" s="47">
        <v>9.4974799999999998E-2</v>
      </c>
      <c r="G129" s="47">
        <v>9.4942799999999994E-2</v>
      </c>
      <c r="H129" s="47">
        <v>9.4942799999999994E-2</v>
      </c>
      <c r="I129" s="47">
        <v>9.4942799999999994E-2</v>
      </c>
      <c r="J129" s="47">
        <v>9.4942799999999994E-2</v>
      </c>
      <c r="K129" s="47">
        <v>9.4942799999999994E-2</v>
      </c>
      <c r="L129" s="47">
        <v>9.4942799999999994E-2</v>
      </c>
      <c r="M129" s="47">
        <v>9.4942799999999994E-2</v>
      </c>
      <c r="N129" s="47"/>
      <c r="O129" s="41"/>
      <c r="P129" s="41"/>
      <c r="Q129" s="41"/>
    </row>
    <row r="130" spans="1:17" ht="12" x14ac:dyDescent="0.15">
      <c r="A130" s="32" t="s">
        <v>42</v>
      </c>
      <c r="B130" s="42">
        <v>26.7</v>
      </c>
      <c r="C130" s="42">
        <v>22</v>
      </c>
      <c r="D130" s="42">
        <v>32.9</v>
      </c>
      <c r="E130" s="42">
        <v>19.7</v>
      </c>
      <c r="F130" s="42">
        <v>24.1</v>
      </c>
      <c r="G130" s="42">
        <v>23.7</v>
      </c>
      <c r="H130" s="43">
        <f>H131/H127</f>
        <v>27.117721670158492</v>
      </c>
      <c r="I130" s="42">
        <v>22</v>
      </c>
      <c r="J130" s="42">
        <v>22</v>
      </c>
      <c r="K130" s="42">
        <v>22</v>
      </c>
      <c r="L130" s="42">
        <v>22</v>
      </c>
      <c r="M130" s="42">
        <v>22</v>
      </c>
      <c r="N130" s="42"/>
      <c r="O130" s="43"/>
      <c r="P130" s="43"/>
      <c r="Q130" s="43"/>
    </row>
    <row r="131" spans="1:17" ht="12" x14ac:dyDescent="0.15">
      <c r="A131" s="32" t="s">
        <v>43</v>
      </c>
      <c r="B131" s="44">
        <v>243260.017146</v>
      </c>
      <c r="C131" s="44">
        <v>224932.14</v>
      </c>
      <c r="D131" s="44">
        <v>306796.33120000002</v>
      </c>
      <c r="E131" s="44">
        <v>248480.665916</v>
      </c>
      <c r="F131" s="44">
        <v>322458.36975999997</v>
      </c>
      <c r="G131" s="44">
        <v>363001.70595099992</v>
      </c>
      <c r="H131" s="45">
        <v>398657.62627299997</v>
      </c>
      <c r="I131" s="45">
        <f>I130*I127</f>
        <v>353564.93039999995</v>
      </c>
      <c r="J131" s="45">
        <f t="shared" ref="J131:M131" si="85">J130*J127</f>
        <v>382981.53260927997</v>
      </c>
      <c r="K131" s="45">
        <f t="shared" si="85"/>
        <v>417909.44838324626</v>
      </c>
      <c r="L131" s="45">
        <f t="shared" si="85"/>
        <v>459616.81133189431</v>
      </c>
      <c r="M131" s="45">
        <f t="shared" si="85"/>
        <v>501625.78788762941</v>
      </c>
      <c r="N131" s="46"/>
      <c r="O131" s="9">
        <f>(H131/C131)^(1/5)-1</f>
        <v>0.12126873407870731</v>
      </c>
      <c r="P131" s="9">
        <f>(M131/H131)^(1/5)-1</f>
        <v>4.7022358044618962E-2</v>
      </c>
      <c r="Q131" s="9">
        <f>(M131/I131)^(1/4)-1</f>
        <v>9.1384215486400411E-2</v>
      </c>
    </row>
    <row r="132" spans="1:17" ht="12" x14ac:dyDescent="0.15">
      <c r="A132" s="32" t="s">
        <v>44</v>
      </c>
      <c r="B132" s="8">
        <f t="shared" ref="B132:G132" si="86">B129*B131</f>
        <v>23103.571476437919</v>
      </c>
      <c r="C132" s="8">
        <f t="shared" si="86"/>
        <v>21362.885010072001</v>
      </c>
      <c r="D132" s="8">
        <f t="shared" si="86"/>
        <v>29137.920196453761</v>
      </c>
      <c r="E132" s="8">
        <f t="shared" si="86"/>
        <v>23599.401549238915</v>
      </c>
      <c r="F132" s="8">
        <f t="shared" si="86"/>
        <v>30625.419176282045</v>
      </c>
      <c r="G132" s="8">
        <f t="shared" si="86"/>
        <v>34464.398367764596</v>
      </c>
      <c r="H132" s="8">
        <f>H131*H129</f>
        <v>37849.67127971218</v>
      </c>
      <c r="I132" s="8">
        <f t="shared" ref="I132:M132" si="87">I131*I129</f>
        <v>33568.444473981115</v>
      </c>
      <c r="J132" s="8">
        <f t="shared" si="87"/>
        <v>36361.339054216347</v>
      </c>
      <c r="K132" s="8">
        <f t="shared" si="87"/>
        <v>39677.493175960873</v>
      </c>
      <c r="L132" s="8">
        <f t="shared" si="87"/>
        <v>43637.306994921775</v>
      </c>
      <c r="M132" s="8">
        <f t="shared" si="87"/>
        <v>47625.756854257619</v>
      </c>
      <c r="N132" s="8"/>
      <c r="O132" s="9">
        <f>(H132/C132)^(1/5)-1</f>
        <v>0.12119316574649752</v>
      </c>
      <c r="P132" s="9">
        <f>(M132/H132)^(1/5)-1</f>
        <v>4.7022358044618962E-2</v>
      </c>
      <c r="Q132" s="9">
        <f>(M132/I132)^(1/4)-1</f>
        <v>9.1384215486400189E-2</v>
      </c>
    </row>
    <row r="133" spans="1:17" ht="12" x14ac:dyDescent="0.15">
      <c r="A133" s="32" t="s">
        <v>45</v>
      </c>
      <c r="B133" s="8"/>
      <c r="C133" s="8"/>
      <c r="D133" s="8"/>
      <c r="E133" s="8"/>
      <c r="F133" s="8"/>
      <c r="G133" s="8"/>
      <c r="H133" s="47"/>
      <c r="I133" s="47">
        <v>0.4</v>
      </c>
      <c r="J133" s="47">
        <v>0.4</v>
      </c>
      <c r="K133" s="47">
        <v>0.4</v>
      </c>
      <c r="L133" s="47">
        <v>0.4</v>
      </c>
      <c r="M133" s="47">
        <v>0.4</v>
      </c>
      <c r="N133" s="47"/>
      <c r="O133" s="47"/>
      <c r="P133" s="47"/>
      <c r="Q133" s="47"/>
    </row>
    <row r="134" spans="1:17" ht="12" x14ac:dyDescent="0.15">
      <c r="A134" s="32" t="s">
        <v>46</v>
      </c>
      <c r="B134" s="8"/>
      <c r="C134" s="8"/>
      <c r="D134" s="8"/>
      <c r="E134" s="8"/>
      <c r="F134" s="8"/>
      <c r="G134" s="8"/>
      <c r="H134" s="8"/>
      <c r="I134" s="8">
        <f>I133*I127</f>
        <v>6428.4532799999997</v>
      </c>
      <c r="J134" s="8">
        <f>J133*J127</f>
        <v>6963.3005928959992</v>
      </c>
      <c r="K134" s="8">
        <f>K133*K127</f>
        <v>7598.353606968114</v>
      </c>
      <c r="L134" s="8">
        <f>L133*L127</f>
        <v>8356.6692969435335</v>
      </c>
      <c r="M134" s="8">
        <f>M133*M127</f>
        <v>9120.4688706841716</v>
      </c>
      <c r="N134" s="8"/>
      <c r="O134" s="8"/>
      <c r="P134" s="8"/>
      <c r="Q134" s="8"/>
    </row>
    <row r="136" spans="1:17" ht="12" x14ac:dyDescent="0.15">
      <c r="A136" s="34" t="s">
        <v>48</v>
      </c>
      <c r="B136" s="7">
        <v>635.4</v>
      </c>
      <c r="C136" s="7">
        <v>706.3</v>
      </c>
      <c r="D136" s="7">
        <v>921.8</v>
      </c>
      <c r="E136" s="7">
        <v>950.1</v>
      </c>
      <c r="F136" s="7">
        <v>884.2</v>
      </c>
      <c r="G136" s="7">
        <v>913.8</v>
      </c>
      <c r="H136" s="7">
        <v>831.6</v>
      </c>
      <c r="I136" s="8">
        <f>H136*(1+I137)</f>
        <v>814.21956</v>
      </c>
      <c r="J136" s="8">
        <f t="shared" ref="J136:M136" si="88">I136*(1+J137)</f>
        <v>877.89152959199998</v>
      </c>
      <c r="K136" s="8">
        <f t="shared" si="88"/>
        <v>950.66873739517678</v>
      </c>
      <c r="L136" s="8">
        <f t="shared" si="88"/>
        <v>1030.6199782101112</v>
      </c>
      <c r="M136" s="8">
        <f t="shared" si="88"/>
        <v>1124.3033342294102</v>
      </c>
      <c r="N136" s="26"/>
      <c r="O136" s="9">
        <f>(H136/C136)^(1/5)-1</f>
        <v>3.3201563929416533E-2</v>
      </c>
      <c r="P136" s="9">
        <f>(M136/H136)^(1/5)-1</f>
        <v>6.2169443779757749E-2</v>
      </c>
      <c r="Q136" s="9">
        <f>(M136/I136)^(1/4)-1</f>
        <v>8.4015499393344406E-2</v>
      </c>
    </row>
    <row r="137" spans="1:17" ht="12" x14ac:dyDescent="0.15">
      <c r="A137" s="10" t="s">
        <v>18</v>
      </c>
      <c r="B137" s="7"/>
      <c r="C137" s="11">
        <f t="shared" ref="C137:H137" si="89">(C136/B136)-1</f>
        <v>0.11158325464274466</v>
      </c>
      <c r="D137" s="11">
        <f t="shared" si="89"/>
        <v>0.30511114257397698</v>
      </c>
      <c r="E137" s="11">
        <f t="shared" si="89"/>
        <v>3.0700802777175129E-2</v>
      </c>
      <c r="F137" s="11">
        <f t="shared" si="89"/>
        <v>-6.9361119882117683E-2</v>
      </c>
      <c r="G137" s="11">
        <f t="shared" si="89"/>
        <v>3.3476589007011892E-2</v>
      </c>
      <c r="H137" s="11">
        <f t="shared" si="89"/>
        <v>-8.9954038082731391E-2</v>
      </c>
      <c r="I137" s="12">
        <v>-2.0899999999999998E-2</v>
      </c>
      <c r="J137" s="12">
        <v>7.8200000000000006E-2</v>
      </c>
      <c r="K137" s="12">
        <v>8.2900000000000001E-2</v>
      </c>
      <c r="L137" s="12">
        <v>8.4099999999999994E-2</v>
      </c>
      <c r="M137" s="12">
        <v>9.0899999999999995E-2</v>
      </c>
      <c r="N137" s="12"/>
      <c r="O137" s="12"/>
      <c r="P137" s="12"/>
      <c r="Q137" s="12"/>
    </row>
    <row r="138" spans="1:17" ht="12" x14ac:dyDescent="0.15">
      <c r="A138" s="32" t="s">
        <v>39</v>
      </c>
      <c r="B138" s="7">
        <v>94.5</v>
      </c>
      <c r="C138" s="7">
        <v>103.2</v>
      </c>
      <c r="D138" s="7">
        <v>122.2</v>
      </c>
      <c r="E138" s="7">
        <v>49.5</v>
      </c>
      <c r="F138" s="7">
        <v>37.9</v>
      </c>
      <c r="G138" s="7">
        <v>66.099999999999994</v>
      </c>
      <c r="H138" s="7">
        <v>78.5</v>
      </c>
      <c r="I138" s="8">
        <f>H138*(1+I139)</f>
        <v>82.103149999999999</v>
      </c>
      <c r="J138" s="8">
        <f t="shared" ref="J138:M138" si="90">I138*(1+J139)</f>
        <v>87.127862779999987</v>
      </c>
      <c r="K138" s="8">
        <f t="shared" si="90"/>
        <v>94.951944857643994</v>
      </c>
      <c r="L138" s="8">
        <f t="shared" si="90"/>
        <v>103.44064872791736</v>
      </c>
      <c r="M138" s="8">
        <f t="shared" si="90"/>
        <v>112.94684434601298</v>
      </c>
      <c r="N138" s="26"/>
      <c r="O138" s="9">
        <f>(H138/C138)^(1/5)-1</f>
        <v>-5.3244161802289303E-2</v>
      </c>
      <c r="P138" s="9">
        <f>(M138/H138)^(1/5)-1</f>
        <v>7.5476410371514646E-2</v>
      </c>
      <c r="Q138" s="9">
        <f>(M138/I138)^(1/4)-1</f>
        <v>8.3000283848438938E-2</v>
      </c>
    </row>
    <row r="139" spans="1:17" ht="12" x14ac:dyDescent="0.15">
      <c r="A139" s="10" t="s">
        <v>18</v>
      </c>
      <c r="C139" s="11">
        <f t="shared" ref="C139:H139" si="91">(C138/B138)-1</f>
        <v>9.2063492063492181E-2</v>
      </c>
      <c r="D139" s="11">
        <f t="shared" si="91"/>
        <v>0.18410852713178305</v>
      </c>
      <c r="E139" s="11">
        <f t="shared" si="91"/>
        <v>-0.59492635024549911</v>
      </c>
      <c r="F139" s="11">
        <f t="shared" si="91"/>
        <v>-0.23434343434343441</v>
      </c>
      <c r="G139" s="11">
        <f t="shared" si="91"/>
        <v>0.74406332453825841</v>
      </c>
      <c r="H139" s="11">
        <f t="shared" si="91"/>
        <v>0.18759455370650535</v>
      </c>
      <c r="I139" s="12">
        <v>4.5900000000000003E-2</v>
      </c>
      <c r="J139" s="12">
        <v>6.1199999999999997E-2</v>
      </c>
      <c r="K139" s="12">
        <v>8.9800000000000005E-2</v>
      </c>
      <c r="L139" s="12">
        <v>8.9399999999999993E-2</v>
      </c>
      <c r="M139" s="12">
        <v>9.1899999999999996E-2</v>
      </c>
      <c r="N139" s="12"/>
      <c r="O139" s="12"/>
      <c r="P139" s="12"/>
      <c r="Q139" s="12"/>
    </row>
    <row r="140" spans="1:17" ht="12" x14ac:dyDescent="0.15">
      <c r="A140" s="10" t="s">
        <v>20</v>
      </c>
      <c r="B140" s="12">
        <f>B138/B136</f>
        <v>0.14872521246458925</v>
      </c>
      <c r="C140" s="12">
        <f>C138/C136</f>
        <v>0.14611354948322244</v>
      </c>
      <c r="D140" s="12">
        <f t="shared" ref="D140:M140" si="92">D138/D136</f>
        <v>0.1325667172922543</v>
      </c>
      <c r="E140" s="12">
        <f t="shared" si="92"/>
        <v>5.2099778970634669E-2</v>
      </c>
      <c r="F140" s="12">
        <f t="shared" si="92"/>
        <v>4.2863605519113321E-2</v>
      </c>
      <c r="G140" s="12">
        <f t="shared" si="92"/>
        <v>7.2335303129787698E-2</v>
      </c>
      <c r="H140" s="12">
        <f t="shared" si="92"/>
        <v>9.4396344396344395E-2</v>
      </c>
      <c r="I140" s="12">
        <f t="shared" si="92"/>
        <v>0.10083662200402063</v>
      </c>
      <c r="J140" s="12">
        <f t="shared" si="92"/>
        <v>9.9246729058307073E-2</v>
      </c>
      <c r="K140" s="12">
        <f t="shared" si="92"/>
        <v>9.9879107330079472E-2</v>
      </c>
      <c r="L140" s="12">
        <f t="shared" si="92"/>
        <v>0.10036740109343102</v>
      </c>
      <c r="M140" s="12">
        <f t="shared" si="92"/>
        <v>0.10045940531113516</v>
      </c>
      <c r="N140" s="12"/>
      <c r="O140" s="12"/>
      <c r="P140" s="12"/>
      <c r="Q140" s="12"/>
    </row>
    <row r="141" spans="1:17" ht="12" x14ac:dyDescent="0.15">
      <c r="A141" s="32" t="s">
        <v>40</v>
      </c>
      <c r="B141" s="7">
        <v>33</v>
      </c>
      <c r="C141" s="7">
        <v>82</v>
      </c>
      <c r="D141" s="7">
        <v>4.4000000000000004</v>
      </c>
      <c r="E141" s="7">
        <v>2.7</v>
      </c>
      <c r="F141" s="7">
        <v>-256.89999999999998</v>
      </c>
      <c r="G141" s="7">
        <v>-42</v>
      </c>
      <c r="H141" s="7">
        <v>26.3</v>
      </c>
      <c r="I141" s="8">
        <f>H141*(1+I142)</f>
        <v>40.46781</v>
      </c>
      <c r="J141" s="8">
        <f t="shared" ref="J141:M141" si="93">I141*(1+J142)</f>
        <v>44.247503453999997</v>
      </c>
      <c r="K141" s="8">
        <f t="shared" si="93"/>
        <v>49.99082940232919</v>
      </c>
      <c r="L141" s="8">
        <f t="shared" si="93"/>
        <v>55.179877494290963</v>
      </c>
      <c r="M141" s="8">
        <f t="shared" si="93"/>
        <v>60.471627745993473</v>
      </c>
      <c r="N141" s="26"/>
      <c r="O141" s="9">
        <f>(H141/C141)^(1/5)-1</f>
        <v>-0.20342186906352255</v>
      </c>
      <c r="P141" s="9">
        <f>(M141/H141)^(1/5)-1</f>
        <v>0.18118842395212176</v>
      </c>
      <c r="Q141" s="9">
        <f>(M141/I141)^(1/4)-1</f>
        <v>0.10563171812147432</v>
      </c>
    </row>
    <row r="142" spans="1:17" ht="12" x14ac:dyDescent="0.15">
      <c r="A142" s="10" t="s">
        <v>18</v>
      </c>
      <c r="C142" s="11">
        <f t="shared" ref="C142:H142" si="94">(C141/B141)-1</f>
        <v>1.4848484848484849</v>
      </c>
      <c r="D142" s="11">
        <f t="shared" si="94"/>
        <v>-0.9463414634146341</v>
      </c>
      <c r="E142" s="11">
        <f t="shared" si="94"/>
        <v>-0.38636363636363635</v>
      </c>
      <c r="F142" s="11">
        <f t="shared" si="94"/>
        <v>-96.148148148148138</v>
      </c>
      <c r="G142" s="11">
        <f t="shared" si="94"/>
        <v>-0.8365122615803815</v>
      </c>
      <c r="H142" s="11">
        <f t="shared" si="94"/>
        <v>-1.6261904761904762</v>
      </c>
      <c r="I142" s="12">
        <v>0.53869999999999996</v>
      </c>
      <c r="J142" s="12">
        <v>9.3399999999999997E-2</v>
      </c>
      <c r="K142" s="12">
        <v>0.1298</v>
      </c>
      <c r="L142" s="12">
        <v>0.1038</v>
      </c>
      <c r="M142" s="12">
        <v>9.5899999999999999E-2</v>
      </c>
      <c r="N142" s="12"/>
      <c r="O142" s="12"/>
      <c r="P142" s="12"/>
      <c r="Q142" s="12"/>
    </row>
    <row r="143" spans="1:17" ht="12" x14ac:dyDescent="0.15">
      <c r="A143" s="40" t="s">
        <v>41</v>
      </c>
      <c r="B143" s="41" t="s">
        <v>17</v>
      </c>
      <c r="C143" s="41" t="s">
        <v>17</v>
      </c>
      <c r="D143" s="47">
        <v>0.31</v>
      </c>
      <c r="E143" s="47">
        <v>0.30571979999999999</v>
      </c>
      <c r="F143" s="47">
        <v>0.33</v>
      </c>
      <c r="G143" s="47">
        <v>0.33</v>
      </c>
      <c r="H143" s="47">
        <v>0.35308</v>
      </c>
      <c r="I143" s="47">
        <v>0.33</v>
      </c>
      <c r="J143" s="47">
        <v>0.33</v>
      </c>
      <c r="K143" s="47">
        <v>0.33</v>
      </c>
      <c r="L143" s="47">
        <v>0.33</v>
      </c>
      <c r="M143" s="47">
        <v>0.33</v>
      </c>
      <c r="N143" s="47"/>
      <c r="O143" s="41"/>
      <c r="P143" s="41"/>
      <c r="Q143" s="41"/>
    </row>
    <row r="144" spans="1:17" ht="12" x14ac:dyDescent="0.15">
      <c r="A144" s="32" t="s">
        <v>42</v>
      </c>
      <c r="B144" s="42" t="s">
        <v>49</v>
      </c>
      <c r="C144" s="42" t="s">
        <v>49</v>
      </c>
      <c r="D144" s="42">
        <v>129.1</v>
      </c>
      <c r="E144" s="42">
        <v>51.5</v>
      </c>
      <c r="F144" s="42" t="s">
        <v>50</v>
      </c>
      <c r="G144" s="42">
        <v>194.4</v>
      </c>
      <c r="H144" s="43">
        <f>H145/H141</f>
        <v>33.684397034220531</v>
      </c>
      <c r="I144" s="48">
        <v>20</v>
      </c>
      <c r="J144" s="48">
        <v>20</v>
      </c>
      <c r="K144" s="48">
        <v>15</v>
      </c>
      <c r="L144" s="48">
        <v>15</v>
      </c>
      <c r="M144" s="48">
        <v>15</v>
      </c>
      <c r="N144" s="48"/>
      <c r="O144" s="43"/>
      <c r="P144" s="43"/>
      <c r="Q144" s="43"/>
    </row>
    <row r="145" spans="1:17" ht="12" x14ac:dyDescent="0.15">
      <c r="A145" s="32" t="s">
        <v>43</v>
      </c>
      <c r="B145" s="8"/>
      <c r="C145" s="8"/>
      <c r="D145" s="8">
        <v>9962.1</v>
      </c>
      <c r="E145" s="8">
        <v>2049.31</v>
      </c>
      <c r="F145" s="8">
        <v>1476.5</v>
      </c>
      <c r="G145" s="8">
        <v>972.67</v>
      </c>
      <c r="H145" s="45">
        <v>885.89964199999997</v>
      </c>
      <c r="I145" s="45">
        <f>I144*I141</f>
        <v>809.35619999999994</v>
      </c>
      <c r="J145" s="45">
        <f t="shared" ref="J145:M145" si="95">J144*J141</f>
        <v>884.95006907999993</v>
      </c>
      <c r="K145" s="45">
        <f t="shared" si="95"/>
        <v>749.86244103493789</v>
      </c>
      <c r="L145" s="45">
        <f t="shared" si="95"/>
        <v>827.69816241436445</v>
      </c>
      <c r="M145" s="45">
        <f t="shared" si="95"/>
        <v>907.07441618990208</v>
      </c>
      <c r="N145" s="49"/>
      <c r="O145" s="24" t="s">
        <v>17</v>
      </c>
      <c r="P145" s="9">
        <f>(M145/H145)^(1/5)-1</f>
        <v>4.7353404468393201E-3</v>
      </c>
      <c r="Q145" s="9">
        <f>(M145/I145)^(1/4)-1</f>
        <v>2.8906249261246852E-2</v>
      </c>
    </row>
    <row r="146" spans="1:17" ht="12" x14ac:dyDescent="0.15">
      <c r="A146" s="32" t="s">
        <v>44</v>
      </c>
      <c r="B146" s="8"/>
      <c r="C146" s="8"/>
      <c r="D146" s="8">
        <f>D143*D145</f>
        <v>3088.2510000000002</v>
      </c>
      <c r="E146" s="8">
        <f>E143*E145</f>
        <v>626.51464333799993</v>
      </c>
      <c r="F146" s="8">
        <f>F143*F145</f>
        <v>487.245</v>
      </c>
      <c r="G146" s="8">
        <f>G143*G145</f>
        <v>320.98110000000003</v>
      </c>
      <c r="H146" s="8">
        <f>H143*H145</f>
        <v>312.79344559736001</v>
      </c>
      <c r="I146" s="8">
        <f t="shared" ref="I146:M146" si="96">I143*I145</f>
        <v>267.08754599999997</v>
      </c>
      <c r="J146" s="8">
        <f t="shared" si="96"/>
        <v>292.03352279640001</v>
      </c>
      <c r="K146" s="8">
        <f t="shared" si="96"/>
        <v>247.4546055415295</v>
      </c>
      <c r="L146" s="8">
        <f t="shared" si="96"/>
        <v>273.1403935967403</v>
      </c>
      <c r="M146" s="8">
        <f t="shared" si="96"/>
        <v>299.33455734266772</v>
      </c>
      <c r="N146" s="49"/>
      <c r="O146" s="24" t="s">
        <v>17</v>
      </c>
      <c r="P146" s="9">
        <f>(M146/H146)^(1/5)-1</f>
        <v>-8.7576634370922779E-3</v>
      </c>
      <c r="Q146" s="9">
        <f>(M146/I146)^(1/4)-1</f>
        <v>2.8906249261246852E-2</v>
      </c>
    </row>
    <row r="147" spans="1:17" x14ac:dyDescent="0.15">
      <c r="A147" s="32" t="s">
        <v>45</v>
      </c>
      <c r="B147" s="8"/>
      <c r="C147" s="8"/>
      <c r="D147" s="8"/>
      <c r="E147" s="8"/>
      <c r="F147" s="8"/>
      <c r="G147" s="8"/>
      <c r="I147" s="47">
        <v>0</v>
      </c>
      <c r="J147" s="47">
        <v>0</v>
      </c>
      <c r="K147" s="47">
        <v>0.3</v>
      </c>
      <c r="L147" s="47">
        <v>0.3</v>
      </c>
      <c r="M147" s="47">
        <v>0.3</v>
      </c>
      <c r="N147" s="47"/>
      <c r="O147" s="47"/>
      <c r="P147" s="47"/>
      <c r="Q147" s="47"/>
    </row>
    <row r="148" spans="1:17" x14ac:dyDescent="0.15">
      <c r="A148" s="32" t="s">
        <v>46</v>
      </c>
      <c r="B148" s="8"/>
      <c r="C148" s="8"/>
      <c r="D148" s="8"/>
      <c r="E148" s="8"/>
      <c r="F148" s="8"/>
      <c r="G148" s="8"/>
      <c r="I148" s="8">
        <f>I147*I141</f>
        <v>0</v>
      </c>
      <c r="J148" s="8">
        <f>J147*J141</f>
        <v>0</v>
      </c>
      <c r="K148" s="8">
        <f>K147*K141</f>
        <v>14.997248820698756</v>
      </c>
      <c r="L148" s="8">
        <f>L147*L141</f>
        <v>16.553963248287289</v>
      </c>
      <c r="M148" s="8">
        <f>M147*M141</f>
        <v>18.14148832379804</v>
      </c>
      <c r="N148" s="8"/>
      <c r="O148" s="8"/>
      <c r="P148" s="8"/>
      <c r="Q148" s="8"/>
    </row>
    <row r="150" spans="1:17" ht="12" x14ac:dyDescent="0.15">
      <c r="A150" s="34" t="s">
        <v>51</v>
      </c>
      <c r="B150" s="7">
        <v>7844.9</v>
      </c>
      <c r="C150" s="7">
        <v>6816.3</v>
      </c>
      <c r="D150" s="7">
        <v>7087.5</v>
      </c>
      <c r="E150" s="7">
        <v>8269.6</v>
      </c>
      <c r="F150" s="7">
        <v>8560.4</v>
      </c>
      <c r="G150" s="7">
        <v>8305.2999999999993</v>
      </c>
      <c r="H150" s="7">
        <v>7891.4</v>
      </c>
      <c r="I150" s="8">
        <f>H150*(1+I151)</f>
        <v>7619.1467000000002</v>
      </c>
      <c r="J150" s="8">
        <f t="shared" ref="J150:M150" si="97">I150*(1+J151)</f>
        <v>8369.632649950001</v>
      </c>
      <c r="K150" s="8">
        <f t="shared" si="97"/>
        <v>9076.866608870776</v>
      </c>
      <c r="L150" s="8">
        <f t="shared" si="97"/>
        <v>9720.4164514397144</v>
      </c>
      <c r="M150" s="8">
        <f t="shared" si="97"/>
        <v>10493.18955932917</v>
      </c>
      <c r="N150" s="26"/>
      <c r="O150" s="9">
        <f>(H150/C150)^(1/5)-1</f>
        <v>2.972456231781706E-2</v>
      </c>
      <c r="P150" s="9">
        <f>(M150/H150)^(1/5)-1</f>
        <v>5.8645832486834859E-2</v>
      </c>
      <c r="Q150" s="9">
        <f>(M150/I150)^(1/4)-1</f>
        <v>8.3303872708874849E-2</v>
      </c>
    </row>
    <row r="151" spans="1:17" ht="12" x14ac:dyDescent="0.15">
      <c r="A151" s="10" t="s">
        <v>18</v>
      </c>
      <c r="B151" s="7"/>
      <c r="C151" s="11">
        <f t="shared" ref="C151:H151" si="98">(C150/B150)-1</f>
        <v>-0.13111703144718223</v>
      </c>
      <c r="D151" s="11">
        <f t="shared" si="98"/>
        <v>3.978698120681301E-2</v>
      </c>
      <c r="E151" s="11">
        <f t="shared" si="98"/>
        <v>0.16678659611992952</v>
      </c>
      <c r="F151" s="11">
        <f t="shared" si="98"/>
        <v>3.5164941472380695E-2</v>
      </c>
      <c r="G151" s="11">
        <f t="shared" si="98"/>
        <v>-2.9800009345357759E-2</v>
      </c>
      <c r="H151" s="11">
        <f t="shared" si="98"/>
        <v>-4.9835647116901249E-2</v>
      </c>
      <c r="I151" s="12">
        <v>-3.4500000000000003E-2</v>
      </c>
      <c r="J151" s="12">
        <v>9.8500000000000004E-2</v>
      </c>
      <c r="K151" s="12">
        <v>8.4500000000000006E-2</v>
      </c>
      <c r="L151" s="12">
        <v>7.0900000000000005E-2</v>
      </c>
      <c r="M151" s="12">
        <v>7.9500000000000001E-2</v>
      </c>
      <c r="N151" s="12"/>
      <c r="O151" s="12"/>
      <c r="P151" s="12"/>
      <c r="Q151" s="12"/>
    </row>
    <row r="152" spans="1:17" ht="12" x14ac:dyDescent="0.15">
      <c r="A152" s="32" t="s">
        <v>39</v>
      </c>
      <c r="B152" s="7">
        <v>794.8</v>
      </c>
      <c r="C152" s="7">
        <v>317.8</v>
      </c>
      <c r="D152" s="7">
        <v>667.7</v>
      </c>
      <c r="E152" s="7">
        <v>833.3</v>
      </c>
      <c r="F152" s="7">
        <v>901.2</v>
      </c>
      <c r="G152" s="7">
        <v>741.1</v>
      </c>
      <c r="H152" s="7">
        <v>607.29999999999995</v>
      </c>
      <c r="I152" s="8">
        <f>H152*(1+I153)</f>
        <v>548.02751999999998</v>
      </c>
      <c r="J152" s="8">
        <f t="shared" ref="J152:M152" si="99">I152*(1+J153)</f>
        <v>591.76011609600005</v>
      </c>
      <c r="K152" s="8">
        <f t="shared" si="99"/>
        <v>639.6335094881664</v>
      </c>
      <c r="L152" s="8">
        <f t="shared" si="99"/>
        <v>684.47181850328684</v>
      </c>
      <c r="M152" s="8">
        <f t="shared" si="99"/>
        <v>739.43490552910077</v>
      </c>
      <c r="N152" s="26"/>
      <c r="O152" s="9">
        <f>(H152/C152)^(1/5)-1</f>
        <v>0.13828202457634142</v>
      </c>
      <c r="P152" s="9">
        <f>(M152/H152)^(1/5)-1</f>
        <v>4.015804721069971E-2</v>
      </c>
      <c r="Q152" s="9">
        <f>(M152/I152)^(1/4)-1</f>
        <v>7.7765791861921008E-2</v>
      </c>
    </row>
    <row r="153" spans="1:17" ht="12" x14ac:dyDescent="0.15">
      <c r="A153" s="10" t="s">
        <v>18</v>
      </c>
      <c r="C153" s="11">
        <f t="shared" ref="C153:H153" si="100">(C152/B152)-1</f>
        <v>-0.60015098137896317</v>
      </c>
      <c r="D153" s="11">
        <f t="shared" si="100"/>
        <v>1.1010069225928256</v>
      </c>
      <c r="E153" s="11">
        <f t="shared" si="100"/>
        <v>0.24801557585742073</v>
      </c>
      <c r="F153" s="11">
        <f t="shared" si="100"/>
        <v>8.148325933037337E-2</v>
      </c>
      <c r="G153" s="11">
        <f t="shared" si="100"/>
        <v>-0.17765201952951626</v>
      </c>
      <c r="H153" s="11">
        <f t="shared" si="100"/>
        <v>-0.1805424369180948</v>
      </c>
      <c r="I153" s="12">
        <v>-9.7600000000000006E-2</v>
      </c>
      <c r="J153" s="12">
        <v>7.9799999999999996E-2</v>
      </c>
      <c r="K153" s="12">
        <v>8.09E-2</v>
      </c>
      <c r="L153" s="12">
        <v>7.0099999999999996E-2</v>
      </c>
      <c r="M153" s="12">
        <v>8.0299999999999996E-2</v>
      </c>
      <c r="N153" s="12"/>
      <c r="O153" s="12"/>
      <c r="P153" s="12"/>
      <c r="Q153" s="12"/>
    </row>
    <row r="154" spans="1:17" ht="12" x14ac:dyDescent="0.15">
      <c r="A154" s="10" t="s">
        <v>20</v>
      </c>
      <c r="B154" s="12">
        <f>B152/B150</f>
        <v>0.10131422962689135</v>
      </c>
      <c r="C154" s="12">
        <f>C152/C150</f>
        <v>4.6623534762261054E-2</v>
      </c>
      <c r="D154" s="12">
        <f t="shared" ref="D154:M154" si="101">D152/D150</f>
        <v>9.4208112874779551E-2</v>
      </c>
      <c r="E154" s="12">
        <f t="shared" si="101"/>
        <v>0.10076666344200444</v>
      </c>
      <c r="F154" s="12">
        <f t="shared" si="101"/>
        <v>0.10527545441801786</v>
      </c>
      <c r="G154" s="12">
        <f t="shared" si="101"/>
        <v>8.9232177043574598E-2</v>
      </c>
      <c r="H154" s="12">
        <f t="shared" si="101"/>
        <v>7.6957193907291485E-2</v>
      </c>
      <c r="I154" s="12">
        <f t="shared" si="101"/>
        <v>7.1927676625520284E-2</v>
      </c>
      <c r="J154" s="12">
        <f t="shared" si="101"/>
        <v>7.0703236431713057E-2</v>
      </c>
      <c r="K154" s="12">
        <f t="shared" si="101"/>
        <v>7.0468536891690775E-2</v>
      </c>
      <c r="L154" s="12">
        <f t="shared" si="101"/>
        <v>7.0415894413855901E-2</v>
      </c>
      <c r="M154" s="12">
        <f t="shared" si="101"/>
        <v>7.0468078494940758E-2</v>
      </c>
      <c r="N154" s="12"/>
      <c r="O154" s="12"/>
      <c r="P154" s="12"/>
      <c r="Q154" s="12"/>
    </row>
    <row r="155" spans="1:17" ht="12" x14ac:dyDescent="0.15">
      <c r="A155" s="32" t="s">
        <v>40</v>
      </c>
      <c r="B155" s="7">
        <v>508.4</v>
      </c>
      <c r="C155" s="7">
        <v>565.70000000000005</v>
      </c>
      <c r="D155" s="7">
        <v>465.5</v>
      </c>
      <c r="E155" s="7">
        <v>576.29999999999995</v>
      </c>
      <c r="F155" s="7">
        <v>543.5</v>
      </c>
      <c r="G155" s="7">
        <v>354.3</v>
      </c>
      <c r="H155" s="7">
        <v>317.39999999999998</v>
      </c>
      <c r="I155" s="8">
        <f>H155*(1+I156)</f>
        <v>276.55061999999998</v>
      </c>
      <c r="J155" s="8">
        <f t="shared" ref="J155:M155" si="102">I155*(1+J156)</f>
        <v>293.39255275799997</v>
      </c>
      <c r="K155" s="8">
        <f t="shared" si="102"/>
        <v>316.89329623391581</v>
      </c>
      <c r="L155" s="8">
        <f t="shared" si="102"/>
        <v>339.51947758501734</v>
      </c>
      <c r="M155" s="8">
        <f t="shared" si="102"/>
        <v>365.56062151578817</v>
      </c>
      <c r="N155" s="26"/>
      <c r="O155" s="9">
        <f>(H155/C155)^(1/5)-1</f>
        <v>-0.10915089352139118</v>
      </c>
      <c r="P155" s="9">
        <f>(M155/H155)^(1/5)-1</f>
        <v>2.8656789481533052E-2</v>
      </c>
      <c r="Q155" s="9">
        <f>(M155/I155)^(1/4)-1</f>
        <v>7.2250340056160267E-2</v>
      </c>
    </row>
    <row r="156" spans="1:17" ht="12" x14ac:dyDescent="0.15">
      <c r="A156" s="10" t="s">
        <v>18</v>
      </c>
      <c r="C156" s="11">
        <f t="shared" ref="C156:H156" si="103">(C155/B155)-1</f>
        <v>0.11270653029110944</v>
      </c>
      <c r="D156" s="11">
        <f t="shared" si="103"/>
        <v>-0.17712568499204528</v>
      </c>
      <c r="E156" s="11">
        <f t="shared" si="103"/>
        <v>0.23802363050483333</v>
      </c>
      <c r="F156" s="11">
        <f t="shared" si="103"/>
        <v>-5.691480131875748E-2</v>
      </c>
      <c r="G156" s="11">
        <f t="shared" si="103"/>
        <v>-0.34811407543698247</v>
      </c>
      <c r="H156" s="11">
        <f t="shared" si="103"/>
        <v>-0.10414902624894162</v>
      </c>
      <c r="I156" s="12">
        <v>-0.12870000000000001</v>
      </c>
      <c r="J156" s="12">
        <v>6.0900000000000003E-2</v>
      </c>
      <c r="K156" s="12">
        <v>8.0100000000000005E-2</v>
      </c>
      <c r="L156" s="12">
        <v>7.1400000000000005E-2</v>
      </c>
      <c r="M156" s="12">
        <v>7.6700000000000004E-2</v>
      </c>
      <c r="N156" s="12"/>
      <c r="O156" s="12"/>
      <c r="P156" s="12"/>
      <c r="Q156" s="12"/>
    </row>
    <row r="157" spans="1:17" ht="12" x14ac:dyDescent="0.15">
      <c r="A157" s="40" t="s">
        <v>41</v>
      </c>
      <c r="B157" s="47">
        <v>0.46622199999999997</v>
      </c>
      <c r="C157" s="47">
        <v>0.4808965</v>
      </c>
      <c r="D157" s="47">
        <v>0.48089709999999997</v>
      </c>
      <c r="E157" s="47">
        <v>0.48089709999999997</v>
      </c>
      <c r="F157" s="47">
        <v>0.48089709999999997</v>
      </c>
      <c r="G157" s="47">
        <v>0.48039199999999999</v>
      </c>
      <c r="H157" s="47">
        <v>0.48609999999999998</v>
      </c>
      <c r="I157" s="47">
        <v>0.48039199999999999</v>
      </c>
      <c r="J157" s="47">
        <v>0.48039199999999999</v>
      </c>
      <c r="K157" s="47">
        <v>0.48039199999999999</v>
      </c>
      <c r="L157" s="47">
        <v>0.48039199999999999</v>
      </c>
      <c r="M157" s="47">
        <v>0.48039199999999999</v>
      </c>
      <c r="N157" s="47"/>
      <c r="O157" s="41"/>
      <c r="P157" s="41"/>
      <c r="Q157" s="41"/>
    </row>
    <row r="158" spans="1:17" ht="12" x14ac:dyDescent="0.15">
      <c r="A158" s="32" t="s">
        <v>42</v>
      </c>
      <c r="B158" s="42">
        <v>15.3</v>
      </c>
      <c r="C158" s="42">
        <v>39</v>
      </c>
      <c r="D158" s="42">
        <v>12.7</v>
      </c>
      <c r="E158" s="42">
        <v>13.9</v>
      </c>
      <c r="F158" s="42">
        <v>19.2</v>
      </c>
      <c r="G158" s="42">
        <v>23.3</v>
      </c>
      <c r="H158" s="43">
        <f>H159/H155</f>
        <v>23.083211937618149</v>
      </c>
      <c r="I158" s="43">
        <v>20</v>
      </c>
      <c r="J158" s="43">
        <v>14</v>
      </c>
      <c r="K158" s="43">
        <v>14</v>
      </c>
      <c r="L158" s="43">
        <v>14</v>
      </c>
      <c r="M158" s="43">
        <v>14</v>
      </c>
      <c r="N158" s="43"/>
      <c r="O158" s="43"/>
      <c r="P158" s="43"/>
      <c r="Q158" s="43"/>
    </row>
    <row r="159" spans="1:17" ht="12" x14ac:dyDescent="0.15">
      <c r="A159" s="32" t="s">
        <v>43</v>
      </c>
      <c r="B159" s="44">
        <v>10480.092000000001</v>
      </c>
      <c r="C159" s="44">
        <v>8014.6885000000002</v>
      </c>
      <c r="D159" s="44">
        <v>10727.338841000001</v>
      </c>
      <c r="E159" s="44">
        <v>7125.1372110000002</v>
      </c>
      <c r="F159" s="44">
        <v>11625.687414</v>
      </c>
      <c r="G159" s="44">
        <v>9539.5612000000001</v>
      </c>
      <c r="H159" s="45">
        <v>7326.6114690000004</v>
      </c>
      <c r="I159" s="45">
        <f>I158*I155</f>
        <v>5531.0123999999996</v>
      </c>
      <c r="J159" s="45">
        <f t="shared" ref="J159:M159" si="104">J158*J155</f>
        <v>4107.4957386119995</v>
      </c>
      <c r="K159" s="45">
        <f t="shared" si="104"/>
        <v>4436.5061472748212</v>
      </c>
      <c r="L159" s="45">
        <f t="shared" si="104"/>
        <v>4753.2726861902429</v>
      </c>
      <c r="M159" s="45">
        <f t="shared" si="104"/>
        <v>5117.8487012210344</v>
      </c>
      <c r="N159" s="46"/>
      <c r="O159" s="9">
        <f>(H159/C159)^(1/5)-1</f>
        <v>-1.7792371678119534E-2</v>
      </c>
      <c r="P159" s="9">
        <f>(M159/H159)^(1/5)-1</f>
        <v>-6.9241831724273006E-2</v>
      </c>
      <c r="Q159" s="9">
        <f>(M159/I159)^(1/4)-1</f>
        <v>-1.9222029135648633E-2</v>
      </c>
    </row>
    <row r="160" spans="1:17" ht="12" x14ac:dyDescent="0.15">
      <c r="A160" s="32" t="s">
        <v>44</v>
      </c>
      <c r="B160" s="8">
        <f t="shared" ref="B160:M160" si="105">B157*B159</f>
        <v>4886.0494524240003</v>
      </c>
      <c r="C160" s="8">
        <f t="shared" si="105"/>
        <v>3854.2356482402502</v>
      </c>
      <c r="D160" s="8">
        <f t="shared" si="105"/>
        <v>5158.7461393542608</v>
      </c>
      <c r="E160" s="8">
        <f t="shared" si="105"/>
        <v>3426.457821871988</v>
      </c>
      <c r="F160" s="8">
        <f t="shared" si="105"/>
        <v>5590.759362899099</v>
      </c>
      <c r="G160" s="8">
        <f t="shared" si="105"/>
        <v>4582.7288839903995</v>
      </c>
      <c r="H160" s="8">
        <f>H157*H159</f>
        <v>3561.4658350809</v>
      </c>
      <c r="I160" s="8">
        <f t="shared" si="105"/>
        <v>2657.0541088607997</v>
      </c>
      <c r="J160" s="8">
        <f t="shared" si="105"/>
        <v>1973.2080928632956</v>
      </c>
      <c r="K160" s="8">
        <f t="shared" si="105"/>
        <v>2131.2620611016459</v>
      </c>
      <c r="L160" s="8">
        <f t="shared" si="105"/>
        <v>2283.434172264303</v>
      </c>
      <c r="M160" s="8">
        <f t="shared" si="105"/>
        <v>2458.5735732769749</v>
      </c>
      <c r="N160" s="8"/>
      <c r="O160" s="9">
        <f>(H160/C160)^(1/5)-1</f>
        <v>-1.5675933305494882E-2</v>
      </c>
      <c r="P160" s="9">
        <f>(M160/H160)^(1/5)-1</f>
        <v>-7.1438046016153112E-2</v>
      </c>
      <c r="Q160" s="9">
        <f>(M160/I160)^(1/4)-1</f>
        <v>-1.9222029135648633E-2</v>
      </c>
    </row>
    <row r="161" spans="1:17" x14ac:dyDescent="0.15">
      <c r="A161" s="32" t="s">
        <v>45</v>
      </c>
      <c r="B161" s="8"/>
      <c r="C161" s="8"/>
      <c r="D161" s="8"/>
      <c r="E161" s="8"/>
      <c r="F161" s="8"/>
      <c r="G161" s="8"/>
      <c r="I161" s="47">
        <v>0.5</v>
      </c>
      <c r="J161" s="47">
        <v>0.5</v>
      </c>
      <c r="K161" s="47">
        <v>0.5</v>
      </c>
      <c r="L161" s="47">
        <v>0.5</v>
      </c>
      <c r="M161" s="47">
        <v>0.5</v>
      </c>
      <c r="N161" s="47"/>
      <c r="O161" s="47"/>
      <c r="P161" s="47"/>
      <c r="Q161" s="47"/>
    </row>
    <row r="162" spans="1:17" x14ac:dyDescent="0.15">
      <c r="A162" s="32" t="s">
        <v>46</v>
      </c>
      <c r="B162" s="8"/>
      <c r="C162" s="8"/>
      <c r="D162" s="8"/>
      <c r="E162" s="8"/>
      <c r="F162" s="8"/>
      <c r="G162" s="8"/>
      <c r="I162" s="8">
        <f>I161*I155</f>
        <v>138.27530999999999</v>
      </c>
      <c r="J162" s="8">
        <f>J161*J155</f>
        <v>146.69627637899998</v>
      </c>
      <c r="K162" s="8">
        <f>K161*K155</f>
        <v>158.4466481169579</v>
      </c>
      <c r="L162" s="8">
        <f>L161*L155</f>
        <v>169.75973879250867</v>
      </c>
      <c r="M162" s="8">
        <f>M161*M155</f>
        <v>182.78031075789409</v>
      </c>
      <c r="N162" s="8"/>
      <c r="O162" s="8"/>
      <c r="P162" s="8"/>
      <c r="Q162" s="8"/>
    </row>
    <row r="164" spans="1:17" ht="12" x14ac:dyDescent="0.15">
      <c r="A164" s="34" t="s">
        <v>52</v>
      </c>
      <c r="B164" s="7">
        <v>1518.7080000000001</v>
      </c>
      <c r="C164" s="7">
        <v>1466.8219999999999</v>
      </c>
      <c r="D164" s="7">
        <v>1971.7249999999999</v>
      </c>
      <c r="E164" s="7">
        <v>2506.201</v>
      </c>
      <c r="F164" s="7">
        <v>3024.72</v>
      </c>
      <c r="G164" s="7">
        <v>3059.1779999999999</v>
      </c>
      <c r="H164" s="7">
        <v>3577.3</v>
      </c>
      <c r="I164" s="8">
        <f>H164*(1+I165)</f>
        <v>4057.7313900000004</v>
      </c>
      <c r="J164" s="8">
        <f t="shared" ref="J164:M164" si="106">I164*(1+J165)</f>
        <v>4629.4657428510009</v>
      </c>
      <c r="K164" s="8">
        <f t="shared" si="106"/>
        <v>5220.1855716387881</v>
      </c>
      <c r="L164" s="8">
        <f t="shared" si="106"/>
        <v>5903.5078629663058</v>
      </c>
      <c r="M164" s="8">
        <f t="shared" si="106"/>
        <v>6748.8901889430808</v>
      </c>
      <c r="N164" s="26"/>
      <c r="O164" s="9">
        <f>(H164/C164)^(1/5)-1</f>
        <v>0.19518625365430586</v>
      </c>
      <c r="P164" s="9">
        <f>(M164/H164)^(1/5)-1</f>
        <v>0.13536473280223316</v>
      </c>
      <c r="Q164" s="9">
        <f>(M164/I164)^(1/4)-1</f>
        <v>0.13563107212744119</v>
      </c>
    </row>
    <row r="165" spans="1:17" ht="12" x14ac:dyDescent="0.15">
      <c r="A165" s="10" t="s">
        <v>18</v>
      </c>
      <c r="B165" s="7"/>
      <c r="C165" s="11">
        <f t="shared" ref="C165:H165" si="107">(C164/B164)-1</f>
        <v>-3.41645661970571E-2</v>
      </c>
      <c r="D165" s="11">
        <f t="shared" si="107"/>
        <v>0.34421558989434309</v>
      </c>
      <c r="E165" s="11">
        <f t="shared" si="107"/>
        <v>0.27107025574053178</v>
      </c>
      <c r="F165" s="11">
        <f t="shared" si="107"/>
        <v>0.20689441908290673</v>
      </c>
      <c r="G165" s="11">
        <f t="shared" si="107"/>
        <v>1.1392128858208395E-2</v>
      </c>
      <c r="H165" s="11">
        <f t="shared" si="107"/>
        <v>0.1693664115000828</v>
      </c>
      <c r="I165" s="12">
        <v>0.1343</v>
      </c>
      <c r="J165" s="12">
        <v>0.1409</v>
      </c>
      <c r="K165" s="12">
        <v>0.12759999999999999</v>
      </c>
      <c r="L165" s="12">
        <v>0.13089999999999999</v>
      </c>
      <c r="M165" s="12">
        <v>0.14319999999999999</v>
      </c>
      <c r="N165" s="12"/>
      <c r="O165" s="12"/>
      <c r="P165" s="12"/>
      <c r="Q165" s="12"/>
    </row>
    <row r="166" spans="1:17" ht="12" x14ac:dyDescent="0.15">
      <c r="A166" s="32" t="s">
        <v>39</v>
      </c>
      <c r="B166" s="7">
        <v>266.81099999999998</v>
      </c>
      <c r="C166" s="7">
        <v>299.19099999999997</v>
      </c>
      <c r="D166" s="7">
        <v>458.512</v>
      </c>
      <c r="E166" s="7">
        <v>652.35299999999995</v>
      </c>
      <c r="F166" s="7">
        <v>782.20799999999997</v>
      </c>
      <c r="G166" s="7">
        <v>565.649</v>
      </c>
      <c r="H166" s="7">
        <v>790.2</v>
      </c>
      <c r="I166" s="8">
        <f>H166*(1+I167)</f>
        <v>949.74138000000005</v>
      </c>
      <c r="J166" s="8">
        <f t="shared" ref="J166:M166" si="108">I166*(1+J167)</f>
        <v>1084.8895783740002</v>
      </c>
      <c r="K166" s="8">
        <f t="shared" si="108"/>
        <v>1236.5571414306853</v>
      </c>
      <c r="L166" s="8">
        <f t="shared" si="108"/>
        <v>1410.788042658269</v>
      </c>
      <c r="M166" s="8">
        <f t="shared" si="108"/>
        <v>1595.4601974422364</v>
      </c>
      <c r="N166" s="26"/>
      <c r="O166" s="9">
        <f>(H166/C166)^(1/5)-1</f>
        <v>0.2143886513021751</v>
      </c>
      <c r="P166" s="9">
        <f>(M166/H166)^(1/5)-1</f>
        <v>0.15087932903345402</v>
      </c>
      <c r="Q166" s="9">
        <f>(M166/I166)^(1/4)-1</f>
        <v>0.13846623162456506</v>
      </c>
    </row>
    <row r="167" spans="1:17" ht="12" x14ac:dyDescent="0.15">
      <c r="A167" s="10" t="s">
        <v>18</v>
      </c>
      <c r="C167" s="11">
        <f t="shared" ref="C167:H167" si="109">(C166/B166)-1</f>
        <v>0.12135931427115065</v>
      </c>
      <c r="D167" s="11">
        <f t="shared" si="109"/>
        <v>0.53250599115615116</v>
      </c>
      <c r="E167" s="11">
        <f t="shared" si="109"/>
        <v>0.42276101825034007</v>
      </c>
      <c r="F167" s="11">
        <f t="shared" si="109"/>
        <v>0.19905633912927523</v>
      </c>
      <c r="G167" s="11">
        <f t="shared" si="109"/>
        <v>-0.27685602806414655</v>
      </c>
      <c r="H167" s="11">
        <f t="shared" si="109"/>
        <v>0.39697939888517442</v>
      </c>
      <c r="I167" s="12">
        <v>0.2019</v>
      </c>
      <c r="J167" s="12">
        <v>0.14230000000000001</v>
      </c>
      <c r="K167" s="12">
        <v>0.13980000000000001</v>
      </c>
      <c r="L167" s="12">
        <v>0.1409</v>
      </c>
      <c r="M167" s="12">
        <v>0.13089999999999999</v>
      </c>
      <c r="N167" s="12"/>
      <c r="O167" s="12"/>
      <c r="P167" s="12"/>
      <c r="Q167" s="12"/>
    </row>
    <row r="168" spans="1:17" ht="12" x14ac:dyDescent="0.15">
      <c r="A168" s="10" t="s">
        <v>20</v>
      </c>
      <c r="B168" s="12">
        <f>B166/B164</f>
        <v>0.17568288308219879</v>
      </c>
      <c r="C168" s="12">
        <f>C166/C164</f>
        <v>0.20397226111961778</v>
      </c>
      <c r="D168" s="12">
        <f t="shared" ref="D168:M168" si="110">D166/D164</f>
        <v>0.23254358493197583</v>
      </c>
      <c r="E168" s="12">
        <f t="shared" si="110"/>
        <v>0.26029556288581801</v>
      </c>
      <c r="F168" s="12">
        <f t="shared" si="110"/>
        <v>0.25860509402523207</v>
      </c>
      <c r="G168" s="12">
        <f t="shared" si="110"/>
        <v>0.18490228420837232</v>
      </c>
      <c r="H168" s="12">
        <f t="shared" si="110"/>
        <v>0.22089285215106366</v>
      </c>
      <c r="I168" s="12">
        <f t="shared" si="110"/>
        <v>0.23405723265482095</v>
      </c>
      <c r="J168" s="12">
        <f t="shared" si="110"/>
        <v>0.23434444461530543</v>
      </c>
      <c r="K168" s="12">
        <f t="shared" si="110"/>
        <v>0.23687992016009679</v>
      </c>
      <c r="L168" s="12">
        <f t="shared" si="110"/>
        <v>0.23897453436259122</v>
      </c>
      <c r="M168" s="12">
        <f t="shared" si="110"/>
        <v>0.2364033422941344</v>
      </c>
      <c r="N168" s="12"/>
      <c r="O168" s="12"/>
      <c r="P168" s="12"/>
      <c r="Q168" s="12"/>
    </row>
    <row r="169" spans="1:17" ht="12" x14ac:dyDescent="0.15">
      <c r="A169" s="32" t="s">
        <v>40</v>
      </c>
      <c r="B169" s="7">
        <v>206.26</v>
      </c>
      <c r="C169" s="7">
        <v>223.488</v>
      </c>
      <c r="D169" s="7">
        <v>354.85300000000001</v>
      </c>
      <c r="E169" s="7">
        <v>507.78699999999998</v>
      </c>
      <c r="F169" s="7">
        <v>570.64499999999998</v>
      </c>
      <c r="G169" s="7">
        <v>309.68099999999998</v>
      </c>
      <c r="H169" s="7">
        <v>434.7</v>
      </c>
      <c r="I169" s="8">
        <f>H169*(1+I170)</f>
        <v>534.59406000000001</v>
      </c>
      <c r="J169" s="8">
        <f t="shared" ref="J169:M169" si="111">I169*(1+J170)</f>
        <v>609.33030958799998</v>
      </c>
      <c r="K169" s="8">
        <f t="shared" si="111"/>
        <v>694.69748596127874</v>
      </c>
      <c r="L169" s="8">
        <f t="shared" si="111"/>
        <v>791.05202726410812</v>
      </c>
      <c r="M169" s="8">
        <f t="shared" si="111"/>
        <v>894.83805324115906</v>
      </c>
      <c r="N169" s="26"/>
      <c r="O169" s="9">
        <f>(H169/C169)^(1/5)-1</f>
        <v>0.14231817365069532</v>
      </c>
      <c r="P169" s="9">
        <f>(M169/H169)^(1/5)-1</f>
        <v>0.15534306236272588</v>
      </c>
      <c r="Q169" s="9">
        <f>(M169/I169)^(1/4)-1</f>
        <v>0.13744414326774579</v>
      </c>
    </row>
    <row r="170" spans="1:17" ht="12" x14ac:dyDescent="0.15">
      <c r="A170" s="10" t="s">
        <v>18</v>
      </c>
      <c r="C170" s="11">
        <f t="shared" ref="C170:H170" si="112">(C169/B169)-1</f>
        <v>8.3525647241345924E-2</v>
      </c>
      <c r="D170" s="11">
        <f t="shared" si="112"/>
        <v>0.5877944229667813</v>
      </c>
      <c r="E170" s="11">
        <f t="shared" si="112"/>
        <v>0.4309784615037775</v>
      </c>
      <c r="F170" s="11">
        <f t="shared" si="112"/>
        <v>0.12378812376055315</v>
      </c>
      <c r="G170" s="11">
        <f t="shared" si="112"/>
        <v>-0.45731409194858452</v>
      </c>
      <c r="H170" s="11">
        <f t="shared" si="112"/>
        <v>0.40370251968961623</v>
      </c>
      <c r="I170" s="12">
        <v>0.2298</v>
      </c>
      <c r="J170" s="12">
        <v>0.13980000000000001</v>
      </c>
      <c r="K170" s="12">
        <v>0.1401</v>
      </c>
      <c r="L170" s="12">
        <v>0.13869999999999999</v>
      </c>
      <c r="M170" s="12">
        <v>0.13120000000000001</v>
      </c>
      <c r="N170" s="12"/>
      <c r="O170" s="12"/>
      <c r="P170" s="12"/>
      <c r="Q170" s="12"/>
    </row>
    <row r="171" spans="1:17" ht="12" x14ac:dyDescent="0.15">
      <c r="A171" s="40" t="s">
        <v>41</v>
      </c>
      <c r="B171" s="47">
        <v>0.25976749999999998</v>
      </c>
      <c r="C171" s="47">
        <v>0.2594998</v>
      </c>
      <c r="D171" s="47">
        <v>0.25951459999999998</v>
      </c>
      <c r="E171" s="47">
        <v>0.25961889999999999</v>
      </c>
      <c r="F171" s="47">
        <v>0.2595441</v>
      </c>
      <c r="G171" s="47">
        <v>0.25938050000000001</v>
      </c>
      <c r="H171" s="47">
        <v>0.25928000000000001</v>
      </c>
      <c r="I171" s="47">
        <v>0.25938050000000001</v>
      </c>
      <c r="J171" s="47">
        <v>0.25938050000000001</v>
      </c>
      <c r="K171" s="47">
        <v>0.25938050000000001</v>
      </c>
      <c r="L171" s="47">
        <v>0.25938050000000001</v>
      </c>
      <c r="M171" s="47">
        <v>0.25938050000000001</v>
      </c>
      <c r="N171" s="47"/>
      <c r="O171" s="41"/>
      <c r="P171" s="41"/>
      <c r="Q171" s="41"/>
    </row>
    <row r="172" spans="1:17" ht="12" x14ac:dyDescent="0.15">
      <c r="A172" s="32" t="s">
        <v>42</v>
      </c>
      <c r="B172" s="42">
        <v>45</v>
      </c>
      <c r="C172" s="42">
        <v>51.8</v>
      </c>
      <c r="D172" s="42">
        <v>80.5</v>
      </c>
      <c r="E172" s="42">
        <v>35.9</v>
      </c>
      <c r="F172" s="42">
        <v>38.1</v>
      </c>
      <c r="G172" s="42">
        <v>60.4</v>
      </c>
      <c r="H172" s="43">
        <f>H173/H169</f>
        <v>48.371991400966181</v>
      </c>
      <c r="I172" s="43">
        <v>30</v>
      </c>
      <c r="J172" s="43">
        <v>30</v>
      </c>
      <c r="K172" s="43">
        <v>25</v>
      </c>
      <c r="L172" s="43">
        <v>25</v>
      </c>
      <c r="M172" s="43">
        <v>25</v>
      </c>
      <c r="N172" s="43"/>
      <c r="O172" s="43"/>
      <c r="P172" s="43"/>
      <c r="Q172" s="43"/>
    </row>
    <row r="173" spans="1:17" ht="12" x14ac:dyDescent="0.15">
      <c r="A173" s="32" t="s">
        <v>43</v>
      </c>
      <c r="B173" s="44">
        <v>8055.2221630000004</v>
      </c>
      <c r="C173" s="44">
        <v>12132.62752</v>
      </c>
      <c r="D173" s="44">
        <v>26037.003725999999</v>
      </c>
      <c r="E173" s="44">
        <v>15839.809300999998</v>
      </c>
      <c r="F173" s="44">
        <v>23206.688430999999</v>
      </c>
      <c r="G173" s="44">
        <v>21766.111078000002</v>
      </c>
      <c r="H173" s="45">
        <v>21027.304661999999</v>
      </c>
      <c r="I173" s="45">
        <f>I172*I169</f>
        <v>16037.8218</v>
      </c>
      <c r="J173" s="45">
        <f t="shared" ref="J173:M173" si="113">J172*J169</f>
        <v>18279.909287639999</v>
      </c>
      <c r="K173" s="45">
        <f t="shared" si="113"/>
        <v>17367.437149031968</v>
      </c>
      <c r="L173" s="45">
        <f t="shared" si="113"/>
        <v>19776.300681602705</v>
      </c>
      <c r="M173" s="45">
        <f t="shared" si="113"/>
        <v>22370.951331028977</v>
      </c>
      <c r="N173" s="8"/>
      <c r="O173" s="9">
        <f>(H173/C173)^(1/5)-1</f>
        <v>0.11626099205138551</v>
      </c>
      <c r="P173" s="9">
        <f>(M173/H173)^(1/5)-1</f>
        <v>1.246535011510419E-2</v>
      </c>
      <c r="Q173" s="9">
        <f>(M173/I173)^(1/4)-1</f>
        <v>8.6762808220238963E-2</v>
      </c>
    </row>
    <row r="174" spans="1:17" ht="12" x14ac:dyDescent="0.15">
      <c r="A174" s="32" t="s">
        <v>44</v>
      </c>
      <c r="B174" s="8">
        <f t="shared" ref="B174:M174" si="114">B171*B173</f>
        <v>2092.4849232271026</v>
      </c>
      <c r="C174" s="8">
        <f t="shared" si="114"/>
        <v>3148.4144149144959</v>
      </c>
      <c r="D174" s="8">
        <f t="shared" si="114"/>
        <v>6756.982607151399</v>
      </c>
      <c r="E174" s="8">
        <f t="shared" si="114"/>
        <v>4112.3138669353884</v>
      </c>
      <c r="F174" s="8">
        <f t="shared" si="114"/>
        <v>6023.1590628043068</v>
      </c>
      <c r="G174" s="8">
        <f t="shared" si="114"/>
        <v>5645.70477446718</v>
      </c>
      <c r="H174" s="8">
        <f t="shared" si="114"/>
        <v>5451.9595527633601</v>
      </c>
      <c r="I174" s="8">
        <f t="shared" si="114"/>
        <v>4159.8982373949002</v>
      </c>
      <c r="J174" s="8">
        <f t="shared" si="114"/>
        <v>4741.4520109827072</v>
      </c>
      <c r="K174" s="8">
        <f t="shared" si="114"/>
        <v>4504.7745314344866</v>
      </c>
      <c r="L174" s="8">
        <f t="shared" si="114"/>
        <v>5129.5867589444506</v>
      </c>
      <c r="M174" s="8">
        <f t="shared" si="114"/>
        <v>5802.5885417179616</v>
      </c>
      <c r="N174" s="8"/>
      <c r="O174" s="9">
        <f>(H174/C174)^(1/5)-1</f>
        <v>0.11607183018251077</v>
      </c>
      <c r="P174" s="9">
        <f>(M174/H174)^(1/5)-1</f>
        <v>1.2543826661789881E-2</v>
      </c>
      <c r="Q174" s="9">
        <f>(M174/I174)^(1/4)-1</f>
        <v>8.6762808220238963E-2</v>
      </c>
    </row>
    <row r="175" spans="1:17" x14ac:dyDescent="0.15">
      <c r="A175" s="32" t="s">
        <v>45</v>
      </c>
      <c r="B175" s="8"/>
      <c r="C175" s="8"/>
      <c r="D175" s="8"/>
      <c r="E175" s="8"/>
      <c r="F175" s="8"/>
      <c r="G175" s="8"/>
      <c r="I175" s="47">
        <v>0.3</v>
      </c>
      <c r="J175" s="47">
        <v>0.3</v>
      </c>
      <c r="K175" s="47">
        <v>0.3</v>
      </c>
      <c r="L175" s="47">
        <v>0.3</v>
      </c>
      <c r="M175" s="47">
        <v>0.3</v>
      </c>
      <c r="N175" s="47"/>
      <c r="O175" s="47"/>
      <c r="P175" s="47"/>
      <c r="Q175" s="47"/>
    </row>
    <row r="176" spans="1:17" x14ac:dyDescent="0.15">
      <c r="A176" s="32" t="s">
        <v>46</v>
      </c>
      <c r="B176" s="8"/>
      <c r="C176" s="8"/>
      <c r="D176" s="8"/>
      <c r="E176" s="8"/>
      <c r="F176" s="8"/>
      <c r="G176" s="8"/>
      <c r="I176" s="8">
        <f>I175*I169</f>
        <v>160.378218</v>
      </c>
      <c r="J176" s="8">
        <f>J175*J169</f>
        <v>182.79909287639998</v>
      </c>
      <c r="K176" s="8">
        <f>K175*K169</f>
        <v>208.40924578838363</v>
      </c>
      <c r="L176" s="8">
        <f>L175*L169</f>
        <v>237.31560817923241</v>
      </c>
      <c r="M176" s="8">
        <f>M175*M169</f>
        <v>268.45141597234772</v>
      </c>
      <c r="N176" s="8"/>
      <c r="O176" s="8"/>
      <c r="P176" s="8"/>
      <c r="Q176" s="8"/>
    </row>
    <row r="178" spans="1:17" ht="12" x14ac:dyDescent="0.15">
      <c r="A178" s="34" t="s">
        <v>53</v>
      </c>
      <c r="B178" s="7">
        <v>4307.7</v>
      </c>
      <c r="C178" s="7">
        <v>3674.8</v>
      </c>
      <c r="D178" s="7">
        <v>4041.8</v>
      </c>
      <c r="E178" s="7">
        <v>5178.8999999999996</v>
      </c>
      <c r="F178" s="7">
        <v>6187.8</v>
      </c>
      <c r="G178" s="7">
        <v>5899.9</v>
      </c>
      <c r="H178" s="7">
        <v>5782.8</v>
      </c>
      <c r="I178" s="8">
        <f>H178*(1+I179)</f>
        <v>5501.1776400000008</v>
      </c>
      <c r="J178" s="8">
        <f t="shared" ref="J178:M178" si="115">I178*(1+J179)</f>
        <v>5832.8986516920013</v>
      </c>
      <c r="K178" s="8">
        <f t="shared" si="115"/>
        <v>6175.2898025463219</v>
      </c>
      <c r="L178" s="8">
        <f t="shared" si="115"/>
        <v>6547.6597776398648</v>
      </c>
      <c r="M178" s="8">
        <f t="shared" si="115"/>
        <v>6971.9481312309281</v>
      </c>
      <c r="N178" s="26"/>
      <c r="O178" s="9">
        <f>(H178/C178)^(1/5)-1</f>
        <v>9.4916228848679118E-2</v>
      </c>
      <c r="P178" s="9">
        <f>(M178/H178)^(1/5)-1</f>
        <v>3.8109570809177207E-2</v>
      </c>
      <c r="Q178" s="9">
        <f>(M178/I178)^(1/4)-1</f>
        <v>6.1022563422894249E-2</v>
      </c>
    </row>
    <row r="179" spans="1:17" ht="12" x14ac:dyDescent="0.15">
      <c r="A179" s="10" t="s">
        <v>18</v>
      </c>
      <c r="B179" s="7"/>
      <c r="C179" s="11">
        <f t="shared" ref="C179:H179" si="116">(C178/B178)-1</f>
        <v>-0.14692295192330007</v>
      </c>
      <c r="D179" s="11">
        <f t="shared" si="116"/>
        <v>9.9869380646565808E-2</v>
      </c>
      <c r="E179" s="11">
        <f t="shared" si="116"/>
        <v>0.28133504874065984</v>
      </c>
      <c r="F179" s="11">
        <f t="shared" si="116"/>
        <v>0.19480970862538394</v>
      </c>
      <c r="G179" s="11">
        <f t="shared" si="116"/>
        <v>-4.6527037072950139E-2</v>
      </c>
      <c r="H179" s="11">
        <f t="shared" si="116"/>
        <v>-1.9847794030407151E-2</v>
      </c>
      <c r="I179" s="12">
        <v>-4.87E-2</v>
      </c>
      <c r="J179" s="12">
        <v>6.0299999999999999E-2</v>
      </c>
      <c r="K179" s="12">
        <v>5.8700000000000002E-2</v>
      </c>
      <c r="L179" s="12">
        <v>6.0299999999999999E-2</v>
      </c>
      <c r="M179" s="12">
        <v>6.4799999999999996E-2</v>
      </c>
      <c r="N179" s="12"/>
      <c r="O179" s="12"/>
      <c r="P179" s="12"/>
      <c r="Q179" s="12"/>
    </row>
    <row r="180" spans="1:17" ht="12" x14ac:dyDescent="0.15">
      <c r="A180" s="32" t="s">
        <v>39</v>
      </c>
      <c r="B180" s="7">
        <v>344.4</v>
      </c>
      <c r="C180" s="7">
        <v>322.10000000000002</v>
      </c>
      <c r="D180" s="7">
        <v>428.5</v>
      </c>
      <c r="E180" s="7">
        <v>461</v>
      </c>
      <c r="F180" s="7">
        <v>617.79999999999995</v>
      </c>
      <c r="G180" s="7">
        <v>582</v>
      </c>
      <c r="H180" s="7">
        <v>517.9</v>
      </c>
      <c r="I180" s="8">
        <f>H180*(1+I181)</f>
        <v>492.36752999999999</v>
      </c>
      <c r="J180" s="8">
        <f t="shared" ref="J180:M180" si="117">I180*(1+J181)</f>
        <v>517.13361675900001</v>
      </c>
      <c r="K180" s="8">
        <f t="shared" si="117"/>
        <v>547.79964023280866</v>
      </c>
      <c r="L180" s="8">
        <f t="shared" si="117"/>
        <v>581.21541828700992</v>
      </c>
      <c r="M180" s="8">
        <f t="shared" si="117"/>
        <v>619.22690664298034</v>
      </c>
      <c r="N180" s="26"/>
      <c r="O180" s="9">
        <f>(H180/C180)^(1/5)-1</f>
        <v>9.9641286477168078E-2</v>
      </c>
      <c r="P180" s="9">
        <f>(M180/H180)^(1/5)-1</f>
        <v>3.6384195694841193E-2</v>
      </c>
      <c r="Q180" s="9">
        <f>(M180/I180)^(1/4)-1</f>
        <v>5.898571919600526E-2</v>
      </c>
    </row>
    <row r="181" spans="1:17" ht="12" x14ac:dyDescent="0.15">
      <c r="A181" s="10" t="s">
        <v>18</v>
      </c>
      <c r="C181" s="11">
        <f t="shared" ref="C181:H181" si="118">(C180/B180)-1</f>
        <v>-6.4750290360046314E-2</v>
      </c>
      <c r="D181" s="11">
        <f t="shared" si="118"/>
        <v>0.33033219497050603</v>
      </c>
      <c r="E181" s="11">
        <f t="shared" si="118"/>
        <v>7.5845974329054933E-2</v>
      </c>
      <c r="F181" s="11">
        <f t="shared" si="118"/>
        <v>0.34013015184381779</v>
      </c>
      <c r="G181" s="11">
        <f t="shared" si="118"/>
        <v>-5.7947555843314902E-2</v>
      </c>
      <c r="H181" s="11">
        <f t="shared" si="118"/>
        <v>-0.11013745704467359</v>
      </c>
      <c r="I181" s="12">
        <v>-4.9299999999999997E-2</v>
      </c>
      <c r="J181" s="12">
        <v>5.0299999999999997E-2</v>
      </c>
      <c r="K181" s="12">
        <v>5.9299999999999999E-2</v>
      </c>
      <c r="L181" s="12">
        <v>6.0999999999999999E-2</v>
      </c>
      <c r="M181" s="12">
        <v>6.54E-2</v>
      </c>
      <c r="N181" s="12"/>
      <c r="O181" s="12"/>
      <c r="P181" s="12"/>
      <c r="Q181" s="12"/>
    </row>
    <row r="182" spans="1:17" ht="12" x14ac:dyDescent="0.15">
      <c r="A182" s="10" t="s">
        <v>20</v>
      </c>
      <c r="B182" s="12">
        <f>B180/B178</f>
        <v>7.9949857232397795E-2</v>
      </c>
      <c r="C182" s="12">
        <f>C180/C178</f>
        <v>8.7651028627408298E-2</v>
      </c>
      <c r="D182" s="12">
        <f t="shared" ref="D182:M182" si="119">D180/D178</f>
        <v>0.10601712108466524</v>
      </c>
      <c r="E182" s="12">
        <f t="shared" si="119"/>
        <v>8.9015041804244147E-2</v>
      </c>
      <c r="F182" s="12">
        <f t="shared" si="119"/>
        <v>9.9841623840460247E-2</v>
      </c>
      <c r="G182" s="12">
        <f t="shared" si="119"/>
        <v>9.8645739758300988E-2</v>
      </c>
      <c r="H182" s="12">
        <f t="shared" si="119"/>
        <v>8.9558691291415915E-2</v>
      </c>
      <c r="I182" s="12">
        <f t="shared" si="119"/>
        <v>8.9502205204193316E-2</v>
      </c>
      <c r="J182" s="12">
        <f t="shared" si="119"/>
        <v>8.8658083680056815E-2</v>
      </c>
      <c r="K182" s="12">
        <f t="shared" si="119"/>
        <v>8.8708329122777152E-2</v>
      </c>
      <c r="L182" s="12">
        <f t="shared" si="119"/>
        <v>8.8766893520009951E-2</v>
      </c>
      <c r="M182" s="12">
        <f t="shared" si="119"/>
        <v>8.8816912430708675E-2</v>
      </c>
      <c r="N182" s="12"/>
      <c r="O182" s="12"/>
      <c r="P182" s="12"/>
      <c r="Q182" s="12"/>
    </row>
    <row r="183" spans="1:17" ht="12" x14ac:dyDescent="0.15">
      <c r="A183" s="32" t="s">
        <v>40</v>
      </c>
      <c r="B183" s="7">
        <v>225.8</v>
      </c>
      <c r="C183" s="7">
        <v>110.4</v>
      </c>
      <c r="D183" s="7">
        <v>305.3</v>
      </c>
      <c r="E183" s="7">
        <v>328.7</v>
      </c>
      <c r="F183" s="7">
        <v>340.9</v>
      </c>
      <c r="G183" s="7">
        <v>345.2</v>
      </c>
      <c r="H183" s="7">
        <v>273.89999999999998</v>
      </c>
      <c r="I183" s="8">
        <f>H183*(1+I184)</f>
        <v>255.08306999999999</v>
      </c>
      <c r="J183" s="8">
        <f>I183*(1+J184)</f>
        <v>268.27086471900003</v>
      </c>
      <c r="K183" s="8">
        <f t="shared" ref="K183:M183" si="120">J183*(1+K184)</f>
        <v>284.60856038038713</v>
      </c>
      <c r="L183" s="8">
        <f t="shared" si="120"/>
        <v>302.48197797227544</v>
      </c>
      <c r="M183" s="8">
        <f t="shared" si="120"/>
        <v>322.08281014487886</v>
      </c>
      <c r="N183" s="26"/>
      <c r="O183" s="9">
        <f>(H183/C183)^(1/5)-1</f>
        <v>0.19929104753435634</v>
      </c>
      <c r="P183" s="9">
        <f>(M183/H183)^(1/5)-1</f>
        <v>3.2940017474243355E-2</v>
      </c>
      <c r="Q183" s="9">
        <f>(M183/I183)^(1/4)-1</f>
        <v>6.0038107031287202E-2</v>
      </c>
    </row>
    <row r="184" spans="1:17" ht="12" x14ac:dyDescent="0.15">
      <c r="A184" s="10" t="s">
        <v>18</v>
      </c>
      <c r="C184" s="11">
        <f t="shared" ref="C184:H184" si="121">(C183/B183)-1</f>
        <v>-0.51107174490699736</v>
      </c>
      <c r="D184" s="11">
        <f t="shared" si="121"/>
        <v>1.7653985507246377</v>
      </c>
      <c r="E184" s="11">
        <f t="shared" si="121"/>
        <v>7.664592204389109E-2</v>
      </c>
      <c r="F184" s="11">
        <f t="shared" si="121"/>
        <v>3.7115911165196191E-2</v>
      </c>
      <c r="G184" s="11">
        <f t="shared" si="121"/>
        <v>1.2613669697858709E-2</v>
      </c>
      <c r="H184" s="11">
        <f t="shared" si="121"/>
        <v>-0.20654692931633845</v>
      </c>
      <c r="I184" s="12">
        <v>-6.8699999999999997E-2</v>
      </c>
      <c r="J184" s="12">
        <v>5.1700000000000003E-2</v>
      </c>
      <c r="K184" s="12">
        <v>6.0900000000000003E-2</v>
      </c>
      <c r="L184" s="12">
        <v>6.2799999999999995E-2</v>
      </c>
      <c r="M184" s="12">
        <v>6.4799999999999996E-2</v>
      </c>
      <c r="N184" s="12"/>
      <c r="O184" s="12"/>
      <c r="P184" s="12"/>
      <c r="Q184" s="12"/>
    </row>
    <row r="185" spans="1:17" ht="12" x14ac:dyDescent="0.15">
      <c r="A185" s="40" t="s">
        <v>41</v>
      </c>
      <c r="B185" s="47">
        <v>0.30030090000000004</v>
      </c>
      <c r="C185" s="47">
        <v>0.30030090000000004</v>
      </c>
      <c r="D185" s="47">
        <v>0.30030090000000004</v>
      </c>
      <c r="E185" s="47">
        <v>0.30030090000000004</v>
      </c>
      <c r="F185" s="47">
        <v>0.3001954</v>
      </c>
      <c r="G185" s="47">
        <v>0.3001105</v>
      </c>
      <c r="H185" s="47">
        <v>0.30086999999999997</v>
      </c>
      <c r="I185" s="47">
        <v>0.3001105</v>
      </c>
      <c r="J185" s="47">
        <v>0.3001105</v>
      </c>
      <c r="K185" s="47">
        <v>0.3001105</v>
      </c>
      <c r="L185" s="47">
        <v>0.3001105</v>
      </c>
      <c r="M185" s="47">
        <v>0.3001105</v>
      </c>
      <c r="N185" s="47"/>
      <c r="O185" s="41"/>
      <c r="P185" s="41"/>
      <c r="Q185" s="41"/>
    </row>
    <row r="186" spans="1:17" ht="12" x14ac:dyDescent="0.15">
      <c r="A186" s="32" t="s">
        <v>42</v>
      </c>
      <c r="B186" s="42">
        <v>19.399999999999999</v>
      </c>
      <c r="C186" s="42">
        <v>38.700000000000003</v>
      </c>
      <c r="D186" s="42">
        <v>27.8</v>
      </c>
      <c r="E186" s="42">
        <v>18.8</v>
      </c>
      <c r="F186" s="42">
        <v>17.8</v>
      </c>
      <c r="G186" s="42">
        <v>22.7</v>
      </c>
      <c r="H186" s="43">
        <f>H187/H183</f>
        <v>21.750346736035052</v>
      </c>
      <c r="I186" s="43">
        <v>16</v>
      </c>
      <c r="J186" s="43">
        <v>16</v>
      </c>
      <c r="K186" s="43">
        <v>16</v>
      </c>
      <c r="L186" s="43">
        <v>16</v>
      </c>
      <c r="M186" s="43">
        <v>16</v>
      </c>
      <c r="N186" s="43"/>
      <c r="O186" s="43"/>
      <c r="P186" s="43"/>
      <c r="Q186" s="43"/>
    </row>
    <row r="187" spans="1:17" ht="12" x14ac:dyDescent="0.15">
      <c r="A187" s="32" t="s">
        <v>43</v>
      </c>
      <c r="B187" s="44">
        <v>4716.5121019999988</v>
      </c>
      <c r="C187" s="44">
        <v>4948.1265359999998</v>
      </c>
      <c r="D187" s="44">
        <v>7650.2949280000003</v>
      </c>
      <c r="E187" s="44">
        <v>6050.0497500000001</v>
      </c>
      <c r="F187" s="44">
        <v>6301.4230699999998</v>
      </c>
      <c r="G187" s="44">
        <v>7620.0316009999997</v>
      </c>
      <c r="H187" s="45">
        <v>5957.4199710000003</v>
      </c>
      <c r="I187" s="45">
        <f>I186*I183</f>
        <v>4081.3291199999999</v>
      </c>
      <c r="J187" s="45">
        <f t="shared" ref="J187:M187" si="122">J186*J183</f>
        <v>4292.3338355040005</v>
      </c>
      <c r="K187" s="45">
        <f t="shared" si="122"/>
        <v>4553.7369660861941</v>
      </c>
      <c r="L187" s="45">
        <f t="shared" si="122"/>
        <v>4839.7116475564071</v>
      </c>
      <c r="M187" s="45">
        <f t="shared" si="122"/>
        <v>5153.3249623180618</v>
      </c>
      <c r="N187" s="8"/>
      <c r="O187" s="9">
        <f>(H187/C187)^(1/5)-1</f>
        <v>3.7823460659797581E-2</v>
      </c>
      <c r="P187" s="9">
        <f>(M187/H187)^(1/5)-1</f>
        <v>-2.8582635317418781E-2</v>
      </c>
      <c r="Q187" s="9">
        <f>(M187/I187)^(1/4)-1</f>
        <v>6.0038107031287202E-2</v>
      </c>
    </row>
    <row r="188" spans="1:17" ht="12" x14ac:dyDescent="0.15">
      <c r="A188" s="32" t="s">
        <v>44</v>
      </c>
      <c r="B188" s="8">
        <f t="shared" ref="B188:M188" si="123">B185*B187</f>
        <v>1416.3728290914917</v>
      </c>
      <c r="C188" s="8">
        <f t="shared" si="123"/>
        <v>1485.9268520746825</v>
      </c>
      <c r="D188" s="8">
        <f t="shared" si="123"/>
        <v>2297.3904521438358</v>
      </c>
      <c r="E188" s="8">
        <f t="shared" si="123"/>
        <v>1816.8353849697753</v>
      </c>
      <c r="F188" s="8">
        <f t="shared" si="123"/>
        <v>1891.658219067878</v>
      </c>
      <c r="G188" s="8">
        <f t="shared" si="123"/>
        <v>2286.8514937919103</v>
      </c>
      <c r="H188" s="8">
        <f t="shared" si="123"/>
        <v>1792.4089466747698</v>
      </c>
      <c r="I188" s="8">
        <f t="shared" si="123"/>
        <v>1224.84972286776</v>
      </c>
      <c r="J188" s="8">
        <f t="shared" si="123"/>
        <v>1288.1744535400233</v>
      </c>
      <c r="K188" s="8">
        <f t="shared" si="123"/>
        <v>1366.6242777606108</v>
      </c>
      <c r="L188" s="8">
        <f t="shared" si="123"/>
        <v>1452.4482824039771</v>
      </c>
      <c r="M188" s="8">
        <f t="shared" si="123"/>
        <v>1546.5669311037548</v>
      </c>
      <c r="N188" s="8"/>
      <c r="O188" s="9">
        <f>(H188/C188)^(1/5)-1</f>
        <v>3.8216518504397889E-2</v>
      </c>
      <c r="P188" s="9">
        <f>(M188/H188)^(1/5)-1</f>
        <v>-2.9073570003653182E-2</v>
      </c>
      <c r="Q188" s="9">
        <f>(M188/I188)^(1/4)-1</f>
        <v>6.0038107031287202E-2</v>
      </c>
    </row>
    <row r="189" spans="1:17" x14ac:dyDescent="0.15">
      <c r="A189" s="32" t="s">
        <v>45</v>
      </c>
      <c r="B189" s="8"/>
      <c r="C189" s="8"/>
      <c r="D189" s="8"/>
      <c r="E189" s="8"/>
      <c r="F189" s="8"/>
      <c r="G189" s="8"/>
      <c r="I189" s="47">
        <v>0.5</v>
      </c>
      <c r="J189" s="47">
        <v>0.5</v>
      </c>
      <c r="K189" s="47">
        <v>0.5</v>
      </c>
      <c r="L189" s="47">
        <v>0.5</v>
      </c>
      <c r="M189" s="47">
        <v>0.5</v>
      </c>
      <c r="N189" s="47"/>
      <c r="O189" s="47"/>
      <c r="P189" s="47"/>
      <c r="Q189" s="47"/>
    </row>
    <row r="190" spans="1:17" x14ac:dyDescent="0.15">
      <c r="A190" s="32" t="s">
        <v>46</v>
      </c>
      <c r="B190" s="8"/>
      <c r="C190" s="8"/>
      <c r="D190" s="8"/>
      <c r="E190" s="8"/>
      <c r="F190" s="8"/>
      <c r="G190" s="8"/>
      <c r="I190" s="8">
        <f>I189*I183</f>
        <v>127.541535</v>
      </c>
      <c r="J190" s="8">
        <f>J189*J183</f>
        <v>134.13543235950002</v>
      </c>
      <c r="K190" s="8">
        <f>K189*K183</f>
        <v>142.30428019019357</v>
      </c>
      <c r="L190" s="8">
        <f>L189*L183</f>
        <v>151.24098898613772</v>
      </c>
      <c r="M190" s="8">
        <f>M189*M183</f>
        <v>161.04140507243943</v>
      </c>
      <c r="N190" s="8"/>
      <c r="O190" s="8"/>
      <c r="P190" s="8"/>
      <c r="Q190" s="8"/>
    </row>
    <row r="192" spans="1:17" ht="12" x14ac:dyDescent="0.15">
      <c r="A192" s="34" t="s">
        <v>54</v>
      </c>
      <c r="B192" s="7">
        <v>110899</v>
      </c>
      <c r="C192" s="7">
        <v>107954</v>
      </c>
      <c r="D192" s="7">
        <v>107700</v>
      </c>
      <c r="E192" s="7">
        <v>133237</v>
      </c>
      <c r="F192" s="7">
        <v>157249</v>
      </c>
      <c r="G192" s="7">
        <v>161921</v>
      </c>
      <c r="H192" s="7">
        <v>155113</v>
      </c>
      <c r="I192" s="8">
        <f>H192*(1+I193)</f>
        <v>151824.60440000001</v>
      </c>
      <c r="J192" s="8">
        <f t="shared" ref="J192:M192" si="124">I192*(1+J193)</f>
        <v>160068.68041892</v>
      </c>
      <c r="K192" s="8">
        <f t="shared" si="124"/>
        <v>169704.814980139</v>
      </c>
      <c r="L192" s="8">
        <f t="shared" si="124"/>
        <v>179836.19243445332</v>
      </c>
      <c r="M192" s="8">
        <f t="shared" si="124"/>
        <v>190788.21655371151</v>
      </c>
      <c r="N192" s="26"/>
      <c r="O192" s="9">
        <f>(H192/C192)^(1/5)-1</f>
        <v>7.5181768883282096E-2</v>
      </c>
      <c r="P192" s="9">
        <f>(M192/H192)^(1/5)-1</f>
        <v>4.2271038350973233E-2</v>
      </c>
      <c r="Q192" s="9">
        <f>(M192/I192)^(1/4)-1</f>
        <v>5.8771756190774349E-2</v>
      </c>
    </row>
    <row r="193" spans="1:17" ht="12" x14ac:dyDescent="0.15">
      <c r="A193" s="10" t="s">
        <v>18</v>
      </c>
      <c r="B193" s="7"/>
      <c r="C193" s="11">
        <f t="shared" ref="C193:H193" si="125">(C192/B192)-1</f>
        <v>-2.6555694821414066E-2</v>
      </c>
      <c r="D193" s="11">
        <f t="shared" si="125"/>
        <v>-2.3528539933675985E-3</v>
      </c>
      <c r="E193" s="11">
        <f t="shared" si="125"/>
        <v>0.23711234911792012</v>
      </c>
      <c r="F193" s="11">
        <f t="shared" si="125"/>
        <v>0.18022020910107561</v>
      </c>
      <c r="G193" s="11">
        <f t="shared" si="125"/>
        <v>2.9710840768462754E-2</v>
      </c>
      <c r="H193" s="11">
        <f t="shared" si="125"/>
        <v>-4.2045194878984171E-2</v>
      </c>
      <c r="I193" s="12">
        <v>-2.12E-2</v>
      </c>
      <c r="J193" s="12">
        <v>5.4300000000000001E-2</v>
      </c>
      <c r="K193" s="12">
        <v>6.0199999999999997E-2</v>
      </c>
      <c r="L193" s="12">
        <v>5.9700000000000003E-2</v>
      </c>
      <c r="M193" s="12">
        <v>6.0900000000000003E-2</v>
      </c>
      <c r="N193" s="12"/>
      <c r="O193" s="12"/>
      <c r="P193" s="12"/>
      <c r="Q193" s="12"/>
    </row>
    <row r="194" spans="1:17" ht="12" x14ac:dyDescent="0.15">
      <c r="A194" s="32" t="s">
        <v>39</v>
      </c>
      <c r="B194" s="7">
        <v>5437</v>
      </c>
      <c r="C194" s="7">
        <v>3781</v>
      </c>
      <c r="D194" s="7">
        <v>5042</v>
      </c>
      <c r="E194" s="7">
        <v>7324</v>
      </c>
      <c r="F194" s="7">
        <v>9376</v>
      </c>
      <c r="G194" s="7">
        <v>10317</v>
      </c>
      <c r="H194" s="7">
        <v>10717</v>
      </c>
      <c r="I194" s="8">
        <f>H194*(1+I195)</f>
        <v>10501.588299999999</v>
      </c>
      <c r="J194" s="8">
        <f t="shared" ref="J194:M194" si="126">I194*(1+J195)</f>
        <v>11079.1756565</v>
      </c>
      <c r="K194" s="8">
        <f t="shared" si="126"/>
        <v>11725.091597273949</v>
      </c>
      <c r="L194" s="8">
        <f t="shared" si="126"/>
        <v>12387.559272519928</v>
      </c>
      <c r="M194" s="8">
        <f t="shared" si="126"/>
        <v>13133.290340725627</v>
      </c>
      <c r="N194" s="26"/>
      <c r="O194" s="9">
        <f>(H194/C194)^(1/5)-1</f>
        <v>0.2316670145292361</v>
      </c>
      <c r="P194" s="9">
        <f>(M194/H194)^(1/5)-1</f>
        <v>4.1501891314954964E-2</v>
      </c>
      <c r="Q194" s="9">
        <f>(M194/I194)^(1/4)-1</f>
        <v>5.7498205936362234E-2</v>
      </c>
    </row>
    <row r="195" spans="1:17" ht="12" x14ac:dyDescent="0.15">
      <c r="A195" s="10" t="s">
        <v>18</v>
      </c>
      <c r="C195" s="11">
        <f t="shared" ref="C195:H195" si="127">(C194/B194)-1</f>
        <v>-0.30457973146956041</v>
      </c>
      <c r="D195" s="11">
        <f t="shared" si="127"/>
        <v>0.33350965353081197</v>
      </c>
      <c r="E195" s="11">
        <f t="shared" si="127"/>
        <v>0.452598175327251</v>
      </c>
      <c r="F195" s="11">
        <f t="shared" si="127"/>
        <v>0.28017476788640083</v>
      </c>
      <c r="G195" s="11">
        <f t="shared" si="127"/>
        <v>0.1003626279863481</v>
      </c>
      <c r="H195" s="11">
        <f t="shared" si="127"/>
        <v>3.8770960550547739E-2</v>
      </c>
      <c r="I195" s="12">
        <v>-2.01E-2</v>
      </c>
      <c r="J195" s="12">
        <v>5.5E-2</v>
      </c>
      <c r="K195" s="12">
        <v>5.8299999999999998E-2</v>
      </c>
      <c r="L195" s="12">
        <v>5.6500000000000002E-2</v>
      </c>
      <c r="M195" s="12">
        <v>6.0199999999999997E-2</v>
      </c>
      <c r="N195" s="12"/>
      <c r="O195" s="12"/>
      <c r="P195" s="12"/>
      <c r="Q195" s="12"/>
    </row>
    <row r="196" spans="1:17" ht="12" x14ac:dyDescent="0.15">
      <c r="A196" s="10" t="s">
        <v>20</v>
      </c>
      <c r="B196" s="12">
        <f>B194/B192</f>
        <v>4.9026591763676859E-2</v>
      </c>
      <c r="C196" s="12">
        <f>C194/C192</f>
        <v>3.5024176964262556E-2</v>
      </c>
      <c r="D196" s="12">
        <f t="shared" ref="D196:M196" si="128">D194/D192</f>
        <v>4.6815227483751158E-2</v>
      </c>
      <c r="E196" s="12">
        <f t="shared" si="128"/>
        <v>5.4969715619535113E-2</v>
      </c>
      <c r="F196" s="12">
        <f t="shared" si="128"/>
        <v>5.9625180446298547E-2</v>
      </c>
      <c r="G196" s="12">
        <f t="shared" si="128"/>
        <v>6.3716256693078718E-2</v>
      </c>
      <c r="H196" s="12">
        <f t="shared" si="128"/>
        <v>6.9091565503858476E-2</v>
      </c>
      <c r="I196" s="12">
        <f t="shared" si="128"/>
        <v>6.9169212338813763E-2</v>
      </c>
      <c r="J196" s="12">
        <f t="shared" si="128"/>
        <v>6.9215137074313315E-2</v>
      </c>
      <c r="K196" s="12">
        <f t="shared" si="128"/>
        <v>6.9091095610022427E-2</v>
      </c>
      <c r="L196" s="12">
        <f t="shared" si="128"/>
        <v>6.8882459669707172E-2</v>
      </c>
      <c r="M196" s="12">
        <f t="shared" si="128"/>
        <v>6.8837009842420152E-2</v>
      </c>
      <c r="N196" s="12"/>
      <c r="O196" s="12"/>
      <c r="P196" s="12"/>
      <c r="Q196" s="12"/>
    </row>
    <row r="197" spans="1:17" ht="12" x14ac:dyDescent="0.15">
      <c r="A197" s="32" t="s">
        <v>40</v>
      </c>
      <c r="B197" s="7">
        <v>3357</v>
      </c>
      <c r="C197" s="7">
        <v>2419</v>
      </c>
      <c r="D197" s="7">
        <v>3133</v>
      </c>
      <c r="E197" s="7">
        <v>4310</v>
      </c>
      <c r="F197" s="7">
        <v>1285</v>
      </c>
      <c r="G197" s="7">
        <v>5160</v>
      </c>
      <c r="H197" s="7">
        <v>5115</v>
      </c>
      <c r="I197" s="8">
        <f>H197*(1+I198)</f>
        <v>5466.4004999999997</v>
      </c>
      <c r="J197" s="8">
        <f t="shared" ref="J197:M197" si="129">I197*(1+J198)</f>
        <v>5751.1999660499996</v>
      </c>
      <c r="K197" s="8">
        <f t="shared" si="129"/>
        <v>6049.6872442879949</v>
      </c>
      <c r="L197" s="8">
        <f t="shared" si="129"/>
        <v>6397.5442608345556</v>
      </c>
      <c r="M197" s="8">
        <f t="shared" si="129"/>
        <v>6784.5956886150461</v>
      </c>
      <c r="N197" s="26"/>
      <c r="O197" s="9">
        <f>(H197/C197)^(1/5)-1</f>
        <v>0.16156081811180756</v>
      </c>
      <c r="P197" s="9">
        <f>(M197/H197)^(1/5)-1</f>
        <v>5.8121811573352389E-2</v>
      </c>
      <c r="Q197" s="9">
        <f>(M197/I197)^(1/4)-1</f>
        <v>5.5493665259264136E-2</v>
      </c>
    </row>
    <row r="198" spans="1:17" ht="12" x14ac:dyDescent="0.15">
      <c r="A198" s="10" t="s">
        <v>18</v>
      </c>
      <c r="C198" s="11">
        <f t="shared" ref="C198:H198" si="130">(C197/B197)-1</f>
        <v>-0.27941614536788795</v>
      </c>
      <c r="D198" s="11">
        <f t="shared" si="130"/>
        <v>0.29516329061595692</v>
      </c>
      <c r="E198" s="11">
        <f t="shared" si="130"/>
        <v>0.37567826364506862</v>
      </c>
      <c r="F198" s="11">
        <f t="shared" si="130"/>
        <v>-0.70185614849187927</v>
      </c>
      <c r="G198" s="11">
        <f t="shared" si="130"/>
        <v>3.0155642023346303</v>
      </c>
      <c r="H198" s="11">
        <f t="shared" si="130"/>
        <v>-8.720930232558155E-3</v>
      </c>
      <c r="I198" s="12">
        <v>6.8699999999999997E-2</v>
      </c>
      <c r="J198" s="12">
        <v>5.21E-2</v>
      </c>
      <c r="K198" s="12">
        <v>5.1900000000000002E-2</v>
      </c>
      <c r="L198" s="12">
        <v>5.7500000000000002E-2</v>
      </c>
      <c r="M198" s="12">
        <v>6.0499999999999998E-2</v>
      </c>
      <c r="N198" s="12"/>
      <c r="O198" s="12"/>
      <c r="P198" s="12"/>
      <c r="Q198" s="12"/>
    </row>
    <row r="199" spans="1:17" ht="12" x14ac:dyDescent="0.15">
      <c r="A199" s="40" t="s">
        <v>41</v>
      </c>
      <c r="B199" s="47">
        <v>0.1091502</v>
      </c>
      <c r="C199" s="47">
        <v>0.1091502</v>
      </c>
      <c r="D199" s="47">
        <v>0.10925499999999999</v>
      </c>
      <c r="E199" s="47">
        <v>0.1089807</v>
      </c>
      <c r="F199" s="47">
        <v>0.1089807</v>
      </c>
      <c r="G199" s="47">
        <v>0.1089807</v>
      </c>
      <c r="H199" s="47">
        <v>0.1089807</v>
      </c>
      <c r="I199" s="47">
        <v>0.1089807</v>
      </c>
      <c r="J199" s="47">
        <v>0.1089807</v>
      </c>
      <c r="K199" s="47">
        <v>0.1089807</v>
      </c>
      <c r="L199" s="47">
        <v>0.1089807</v>
      </c>
      <c r="M199" s="47">
        <v>0.1089807</v>
      </c>
      <c r="N199" s="47"/>
      <c r="O199" s="41"/>
      <c r="P199" s="41"/>
      <c r="Q199" s="41"/>
    </row>
    <row r="200" spans="1:17" ht="12" x14ac:dyDescent="0.15">
      <c r="A200" s="32" t="s">
        <v>42</v>
      </c>
      <c r="B200" s="42">
        <v>18.3</v>
      </c>
      <c r="C200" s="42">
        <v>17.5</v>
      </c>
      <c r="D200" s="42">
        <v>15.6</v>
      </c>
      <c r="E200" s="42">
        <v>9.91</v>
      </c>
      <c r="F200" s="42">
        <v>38.700000000000003</v>
      </c>
      <c r="G200" s="42">
        <v>16.600000000000001</v>
      </c>
      <c r="H200" s="43">
        <f>H201/H197</f>
        <v>16.48748067526882</v>
      </c>
      <c r="I200" s="43">
        <v>16</v>
      </c>
      <c r="J200" s="43">
        <v>16</v>
      </c>
      <c r="K200" s="43">
        <v>16</v>
      </c>
      <c r="L200" s="43">
        <v>16</v>
      </c>
      <c r="M200" s="43">
        <v>16</v>
      </c>
      <c r="N200" s="43"/>
      <c r="O200" s="43"/>
      <c r="P200" s="43"/>
      <c r="Q200" s="43"/>
    </row>
    <row r="201" spans="1:17" ht="12" x14ac:dyDescent="0.15">
      <c r="A201" s="32" t="s">
        <v>43</v>
      </c>
      <c r="B201" s="44">
        <v>58918.577670999999</v>
      </c>
      <c r="C201" s="44">
        <v>48444.974826999991</v>
      </c>
      <c r="D201" s="44">
        <v>45445.382761000001</v>
      </c>
      <c r="E201" s="44">
        <v>49820.910322000003</v>
      </c>
      <c r="F201" s="44">
        <v>56478.212275999998</v>
      </c>
      <c r="G201" s="44">
        <v>78432.412869000007</v>
      </c>
      <c r="H201" s="45">
        <v>84333.463654000006</v>
      </c>
      <c r="I201" s="45">
        <f>I200*I197</f>
        <v>87462.407999999996</v>
      </c>
      <c r="J201" s="45">
        <f t="shared" ref="J201:M201" si="131">J200*J197</f>
        <v>92019.199456799994</v>
      </c>
      <c r="K201" s="45">
        <f t="shared" si="131"/>
        <v>96794.995908607918</v>
      </c>
      <c r="L201" s="45">
        <f t="shared" si="131"/>
        <v>102360.70817335289</v>
      </c>
      <c r="M201" s="45">
        <f t="shared" si="131"/>
        <v>108553.53101784074</v>
      </c>
      <c r="N201" s="8"/>
      <c r="O201" s="9">
        <f>(H201/C201)^(1/5)-1</f>
        <v>0.11724968426269222</v>
      </c>
      <c r="P201" s="9">
        <f>(M201/H201)^(1/5)-1</f>
        <v>5.178943335896169E-2</v>
      </c>
      <c r="Q201" s="9">
        <f>(M201/I201)^(1/4)-1</f>
        <v>5.5493665259264136E-2</v>
      </c>
    </row>
    <row r="202" spans="1:17" ht="12" x14ac:dyDescent="0.15">
      <c r="A202" s="32" t="s">
        <v>44</v>
      </c>
      <c r="B202" s="8">
        <f t="shared" ref="B202:M202" si="132">B199*B201</f>
        <v>6430.974536505184</v>
      </c>
      <c r="C202" s="8">
        <f t="shared" si="132"/>
        <v>5287.7786913620148</v>
      </c>
      <c r="D202" s="8">
        <f t="shared" si="132"/>
        <v>4965.1352935530549</v>
      </c>
      <c r="E202" s="8">
        <f t="shared" si="132"/>
        <v>5429.5176815287859</v>
      </c>
      <c r="F202" s="8">
        <f t="shared" si="132"/>
        <v>6155.0351085870734</v>
      </c>
      <c r="G202" s="8">
        <f t="shared" si="132"/>
        <v>8547.6192571526299</v>
      </c>
      <c r="H202" s="8">
        <f t="shared" si="132"/>
        <v>9190.7199024374786</v>
      </c>
      <c r="I202" s="8">
        <f t="shared" si="132"/>
        <v>9531.7144475255991</v>
      </c>
      <c r="J202" s="8">
        <f t="shared" si="132"/>
        <v>10028.316770241683</v>
      </c>
      <c r="K202" s="8">
        <f t="shared" si="132"/>
        <v>10548.786410617227</v>
      </c>
      <c r="L202" s="8">
        <f t="shared" si="132"/>
        <v>11155.34162922772</v>
      </c>
      <c r="M202" s="8">
        <f t="shared" si="132"/>
        <v>11830.239797795995</v>
      </c>
      <c r="N202" s="50"/>
      <c r="O202" s="9">
        <f>(H202/C202)^(1/5)-1</f>
        <v>0.1169024717736602</v>
      </c>
      <c r="P202" s="9">
        <f>(M202/H202)^(1/5)-1</f>
        <v>5.178943335896169E-2</v>
      </c>
      <c r="Q202" s="9">
        <f>(M202/I202)^(1/4)-1</f>
        <v>5.5493665259263913E-2</v>
      </c>
    </row>
    <row r="203" spans="1:17" x14ac:dyDescent="0.15">
      <c r="A203" s="32" t="s">
        <v>45</v>
      </c>
      <c r="B203" s="8"/>
      <c r="C203" s="8"/>
      <c r="D203" s="8"/>
      <c r="E203" s="8"/>
      <c r="F203" s="8"/>
      <c r="G203" s="8"/>
      <c r="I203" s="47">
        <v>0.5</v>
      </c>
      <c r="J203" s="47">
        <v>0.5</v>
      </c>
      <c r="K203" s="47">
        <v>0.5</v>
      </c>
      <c r="L203" s="47">
        <v>0.5</v>
      </c>
      <c r="M203" s="47">
        <v>0.5</v>
      </c>
      <c r="N203" s="47"/>
      <c r="O203" s="47"/>
      <c r="P203" s="47"/>
      <c r="Q203" s="47"/>
    </row>
    <row r="204" spans="1:17" x14ac:dyDescent="0.15">
      <c r="A204" s="32" t="s">
        <v>46</v>
      </c>
      <c r="B204" s="8"/>
      <c r="C204" s="8"/>
      <c r="D204" s="8"/>
      <c r="E204" s="8"/>
      <c r="F204" s="8"/>
      <c r="G204" s="8"/>
      <c r="I204" s="8">
        <f>I203*I197</f>
        <v>2733.2002499999999</v>
      </c>
      <c r="J204" s="8">
        <f>J203*J197</f>
        <v>2875.5999830249998</v>
      </c>
      <c r="K204" s="8">
        <f>K203*K197</f>
        <v>3024.8436221439974</v>
      </c>
      <c r="L204" s="8">
        <f>L203*L197</f>
        <v>3198.7721304172778</v>
      </c>
      <c r="M204" s="8">
        <f>M203*M197</f>
        <v>3392.2978443075231</v>
      </c>
      <c r="N204" s="8"/>
      <c r="O204" s="8"/>
      <c r="P204" s="8"/>
      <c r="Q204" s="8"/>
    </row>
    <row r="206" spans="1:17" ht="12" x14ac:dyDescent="0.15">
      <c r="A206" s="34" t="s">
        <v>55</v>
      </c>
      <c r="B206" s="7">
        <v>20629</v>
      </c>
      <c r="C206" s="7">
        <v>20858</v>
      </c>
      <c r="D206" s="7">
        <v>21803</v>
      </c>
      <c r="E206" s="7">
        <v>24296</v>
      </c>
      <c r="F206" s="7">
        <v>28523</v>
      </c>
      <c r="G206" s="7">
        <v>30676</v>
      </c>
      <c r="H206" s="7">
        <v>31586</v>
      </c>
      <c r="I206" s="8">
        <f>H206*(1+I207)</f>
        <v>32852.598599999998</v>
      </c>
      <c r="J206" s="8">
        <f t="shared" ref="J206:M206" si="133">I206*(1+J207)</f>
        <v>35520.229606319997</v>
      </c>
      <c r="K206" s="8">
        <f t="shared" si="133"/>
        <v>39153.949095046533</v>
      </c>
      <c r="L206" s="8">
        <f t="shared" si="133"/>
        <v>43453.052705682639</v>
      </c>
      <c r="M206" s="8">
        <f t="shared" si="133"/>
        <v>47402.935196629187</v>
      </c>
      <c r="N206" s="26"/>
      <c r="O206" s="9">
        <f>(H206/C206)^(1/5)-1</f>
        <v>8.6536683722651109E-2</v>
      </c>
      <c r="P206" s="9">
        <f>(M206/H206)^(1/5)-1</f>
        <v>8.4581321004236543E-2</v>
      </c>
      <c r="Q206" s="9">
        <f>(M206/I206)^(1/4)-1</f>
        <v>9.5995766663028892E-2</v>
      </c>
    </row>
    <row r="207" spans="1:17" ht="12" x14ac:dyDescent="0.15">
      <c r="A207" s="10" t="s">
        <v>18</v>
      </c>
      <c r="B207" s="7"/>
      <c r="C207" s="11">
        <f t="shared" ref="C207:H207" si="134">(C206/B206)-1</f>
        <v>1.1100877405594067E-2</v>
      </c>
      <c r="D207" s="11">
        <f t="shared" si="134"/>
        <v>4.5306357272988818E-2</v>
      </c>
      <c r="E207" s="11">
        <f t="shared" si="134"/>
        <v>0.11434206301885053</v>
      </c>
      <c r="F207" s="11">
        <f t="shared" si="134"/>
        <v>0.1739792558445834</v>
      </c>
      <c r="G207" s="11">
        <f t="shared" si="134"/>
        <v>7.5482943589384011E-2</v>
      </c>
      <c r="H207" s="11">
        <f t="shared" si="134"/>
        <v>2.9664884600339114E-2</v>
      </c>
      <c r="I207" s="12">
        <v>4.0099999999999997E-2</v>
      </c>
      <c r="J207" s="12">
        <v>8.1199999999999994E-2</v>
      </c>
      <c r="K207" s="12">
        <v>0.1023</v>
      </c>
      <c r="L207" s="12">
        <v>0.10979999999999999</v>
      </c>
      <c r="M207" s="12">
        <v>9.0899999999999995E-2</v>
      </c>
      <c r="N207" s="12"/>
      <c r="O207" s="12"/>
      <c r="P207" s="12"/>
      <c r="Q207" s="12"/>
    </row>
    <row r="208" spans="1:17" ht="12" x14ac:dyDescent="0.15">
      <c r="A208" s="32" t="s">
        <v>39</v>
      </c>
      <c r="B208" s="7">
        <v>1871</v>
      </c>
      <c r="C208" s="7">
        <v>1853</v>
      </c>
      <c r="D208" s="7">
        <v>2079</v>
      </c>
      <c r="E208" s="7">
        <v>2287</v>
      </c>
      <c r="F208" s="7">
        <v>2611</v>
      </c>
      <c r="G208" s="7">
        <v>3186</v>
      </c>
      <c r="H208" s="7">
        <v>3491</v>
      </c>
      <c r="I208" s="8">
        <f>H208*(1+I209)</f>
        <v>3525.2118</v>
      </c>
      <c r="J208" s="8">
        <f t="shared" ref="J208:M208" si="135">I208*(1+J209)</f>
        <v>3837.89808666</v>
      </c>
      <c r="K208" s="8">
        <f t="shared" si="135"/>
        <v>4238.1908570986379</v>
      </c>
      <c r="L208" s="8">
        <f t="shared" si="135"/>
        <v>4706.5109468080373</v>
      </c>
      <c r="M208" s="8">
        <f t="shared" si="135"/>
        <v>5135.7447451569296</v>
      </c>
      <c r="N208" s="26"/>
      <c r="O208" s="9">
        <f>(H208/C208)^(1/5)-1</f>
        <v>0.13504972002568683</v>
      </c>
      <c r="P208" s="9">
        <f>(M208/H208)^(1/5)-1</f>
        <v>8.0266022112110536E-2</v>
      </c>
      <c r="Q208" s="9">
        <f>(M208/I208)^(1/4)-1</f>
        <v>9.8637841579861663E-2</v>
      </c>
    </row>
    <row r="209" spans="1:17" ht="12" x14ac:dyDescent="0.15">
      <c r="A209" s="10" t="s">
        <v>18</v>
      </c>
      <c r="C209" s="11">
        <f t="shared" ref="C209:H209" si="136">(C208/B208)-1</f>
        <v>-9.6205237840727431E-3</v>
      </c>
      <c r="D209" s="11">
        <f t="shared" si="136"/>
        <v>0.12196438208310845</v>
      </c>
      <c r="E209" s="11">
        <f t="shared" si="136"/>
        <v>0.10004810004809994</v>
      </c>
      <c r="F209" s="11">
        <f t="shared" si="136"/>
        <v>0.14167031045037159</v>
      </c>
      <c r="G209" s="11">
        <f t="shared" si="136"/>
        <v>0.2202221371122175</v>
      </c>
      <c r="H209" s="11">
        <f t="shared" si="136"/>
        <v>9.5731324544883867E-2</v>
      </c>
      <c r="I209" s="12">
        <v>9.7999999999999997E-3</v>
      </c>
      <c r="J209" s="12">
        <v>8.8700000000000001E-2</v>
      </c>
      <c r="K209" s="12">
        <v>0.1043</v>
      </c>
      <c r="L209" s="12">
        <v>0.1105</v>
      </c>
      <c r="M209" s="12">
        <v>9.1200000000000003E-2</v>
      </c>
      <c r="N209" s="12"/>
      <c r="O209" s="12"/>
      <c r="P209" s="12"/>
      <c r="Q209" s="12"/>
    </row>
    <row r="210" spans="1:17" ht="12" x14ac:dyDescent="0.15">
      <c r="A210" s="10" t="s">
        <v>20</v>
      </c>
      <c r="B210" s="12">
        <f>B208/B206</f>
        <v>9.0697561685006547E-2</v>
      </c>
      <c r="C210" s="12">
        <f>C208/C206</f>
        <v>8.8838814843225616E-2</v>
      </c>
      <c r="D210" s="12">
        <f t="shared" ref="D210:M210" si="137">D208/D206</f>
        <v>9.5353850387561348E-2</v>
      </c>
      <c r="E210" s="12">
        <f t="shared" si="137"/>
        <v>9.4130721106354953E-2</v>
      </c>
      <c r="F210" s="12">
        <f t="shared" si="137"/>
        <v>9.1540160572169835E-2</v>
      </c>
      <c r="G210" s="12">
        <f t="shared" si="137"/>
        <v>0.10385969487547268</v>
      </c>
      <c r="H210" s="12">
        <f t="shared" si="137"/>
        <v>0.11052364971822959</v>
      </c>
      <c r="I210" s="12">
        <f t="shared" si="137"/>
        <v>0.1073038952845575</v>
      </c>
      <c r="J210" s="12">
        <f t="shared" si="137"/>
        <v>0.10804823418081552</v>
      </c>
      <c r="K210" s="12">
        <f t="shared" si="137"/>
        <v>0.10824427561088142</v>
      </c>
      <c r="L210" s="12">
        <f t="shared" si="137"/>
        <v>0.10831255006837612</v>
      </c>
      <c r="M210" s="12">
        <f t="shared" si="137"/>
        <v>0.10834233626786324</v>
      </c>
      <c r="N210" s="12"/>
      <c r="O210" s="12"/>
      <c r="P210" s="12"/>
      <c r="Q210" s="12"/>
    </row>
    <row r="211" spans="1:17" ht="12" x14ac:dyDescent="0.15">
      <c r="A211" s="32" t="s">
        <v>40</v>
      </c>
      <c r="B211" s="7">
        <v>1393</v>
      </c>
      <c r="C211" s="7">
        <v>1292</v>
      </c>
      <c r="D211" s="7">
        <v>1492</v>
      </c>
      <c r="E211" s="7">
        <v>1651</v>
      </c>
      <c r="F211" s="7">
        <v>1667</v>
      </c>
      <c r="G211" s="7">
        <v>2071</v>
      </c>
      <c r="H211" s="7">
        <v>2226</v>
      </c>
      <c r="I211" s="8">
        <f>H211*(1+I212)</f>
        <v>2235.5717999999997</v>
      </c>
      <c r="J211" s="8">
        <f t="shared" ref="J211:M211" si="138">I211*(1+J212)</f>
        <v>2429.3958750599995</v>
      </c>
      <c r="K211" s="8">
        <f t="shared" si="138"/>
        <v>2679.3807106036734</v>
      </c>
      <c r="L211" s="8">
        <f t="shared" si="138"/>
        <v>2970.093517704172</v>
      </c>
      <c r="M211" s="8">
        <f t="shared" si="138"/>
        <v>3237.9959530010883</v>
      </c>
      <c r="N211" s="26"/>
      <c r="O211" s="9">
        <f>(H211/C211)^(1/5)-1</f>
        <v>0.11494265098885248</v>
      </c>
      <c r="P211" s="9">
        <f>(M211/H211)^(1/5)-1</f>
        <v>7.7829902891493496E-2</v>
      </c>
      <c r="Q211" s="9">
        <f>(M211/I211)^(1/4)-1</f>
        <v>9.7038627686386825E-2</v>
      </c>
    </row>
    <row r="212" spans="1:17" ht="12" x14ac:dyDescent="0.15">
      <c r="A212" s="10" t="s">
        <v>18</v>
      </c>
      <c r="C212" s="11">
        <f t="shared" ref="C212:H212" si="139">(C211/B211)-1</f>
        <v>-7.2505384063172973E-2</v>
      </c>
      <c r="D212" s="11">
        <f t="shared" si="139"/>
        <v>0.15479876160990713</v>
      </c>
      <c r="E212" s="11">
        <f t="shared" si="139"/>
        <v>0.10656836461126007</v>
      </c>
      <c r="F212" s="11">
        <f t="shared" si="139"/>
        <v>9.691096305269431E-3</v>
      </c>
      <c r="G212" s="11">
        <f t="shared" si="139"/>
        <v>0.24235152969406126</v>
      </c>
      <c r="H212" s="11">
        <f t="shared" si="139"/>
        <v>7.4843070980202819E-2</v>
      </c>
      <c r="I212" s="12">
        <v>4.3E-3</v>
      </c>
      <c r="J212" s="12">
        <v>8.6699999999999999E-2</v>
      </c>
      <c r="K212" s="12">
        <v>0.10290000000000001</v>
      </c>
      <c r="L212" s="12">
        <v>0.1085</v>
      </c>
      <c r="M212" s="12">
        <v>9.0200000000000002E-2</v>
      </c>
      <c r="N212" s="12"/>
      <c r="O212" s="12"/>
      <c r="P212" s="12"/>
      <c r="Q212" s="12"/>
    </row>
    <row r="213" spans="1:17" ht="12" x14ac:dyDescent="0.15">
      <c r="A213" s="40" t="s">
        <v>41</v>
      </c>
      <c r="B213" s="47">
        <v>0.27693470000000003</v>
      </c>
      <c r="C213" s="47">
        <v>0.27552969999999999</v>
      </c>
      <c r="D213" s="47">
        <v>0.27376650000000002</v>
      </c>
      <c r="E213" s="47">
        <v>0.27290059999999999</v>
      </c>
      <c r="F213" s="47">
        <v>0.27250390000000002</v>
      </c>
      <c r="G213" s="47">
        <v>0.27202179999999998</v>
      </c>
      <c r="H213" s="47">
        <v>0.27124999999999999</v>
      </c>
      <c r="I213" s="47">
        <v>0.27100000000000002</v>
      </c>
      <c r="J213" s="47">
        <v>0.27100000000000002</v>
      </c>
      <c r="K213" s="47">
        <v>0.27100000000000002</v>
      </c>
      <c r="L213" s="47">
        <v>0.27100000000000002</v>
      </c>
      <c r="M213" s="47">
        <v>0.27100000000000002</v>
      </c>
      <c r="N213" s="47"/>
      <c r="O213" s="41"/>
      <c r="P213" s="41"/>
      <c r="Q213" s="41"/>
    </row>
    <row r="214" spans="1:17" ht="12" x14ac:dyDescent="0.15">
      <c r="A214" s="32" t="s">
        <v>42</v>
      </c>
      <c r="B214" s="42">
        <v>31.8</v>
      </c>
      <c r="C214" s="42">
        <v>35.799999999999997</v>
      </c>
      <c r="D214" s="42">
        <v>47.7</v>
      </c>
      <c r="E214" s="42">
        <v>22.3</v>
      </c>
      <c r="F214" s="42">
        <v>27.7</v>
      </c>
      <c r="G214" s="42">
        <v>31.4</v>
      </c>
      <c r="H214" s="43">
        <f>H215/H211</f>
        <v>24.443725300539082</v>
      </c>
      <c r="I214" s="43">
        <v>22</v>
      </c>
      <c r="J214" s="43">
        <v>22</v>
      </c>
      <c r="K214" s="43">
        <v>22</v>
      </c>
      <c r="L214" s="43">
        <v>22</v>
      </c>
      <c r="M214" s="43">
        <v>22</v>
      </c>
      <c r="N214" s="43"/>
      <c r="O214" s="43"/>
      <c r="P214" s="43"/>
      <c r="Q214" s="43"/>
    </row>
    <row r="215" spans="1:17" ht="12" x14ac:dyDescent="0.15">
      <c r="A215" s="32" t="s">
        <v>43</v>
      </c>
      <c r="B215" s="44">
        <v>42536.299061999998</v>
      </c>
      <c r="C215" s="44">
        <v>53665.975259999992</v>
      </c>
      <c r="D215" s="44">
        <v>60837.741593999999</v>
      </c>
      <c r="E215" s="44">
        <v>35812.810479</v>
      </c>
      <c r="F215" s="44">
        <v>48547.969203000001</v>
      </c>
      <c r="G215" s="44">
        <v>59218.154971999989</v>
      </c>
      <c r="H215" s="45">
        <v>54411.732518999997</v>
      </c>
      <c r="I215" s="45">
        <f>I214*I211</f>
        <v>49182.579599999997</v>
      </c>
      <c r="J215" s="45">
        <f t="shared" ref="J215:M215" si="140">J214*J211</f>
        <v>53446.70925131999</v>
      </c>
      <c r="K215" s="45">
        <f t="shared" si="140"/>
        <v>58946.375633280812</v>
      </c>
      <c r="L215" s="45">
        <f t="shared" si="140"/>
        <v>65342.057389491783</v>
      </c>
      <c r="M215" s="45">
        <f t="shared" si="140"/>
        <v>71235.910966023948</v>
      </c>
      <c r="N215" s="8"/>
      <c r="O215" s="9">
        <f>(H215/C215)^(1/5)-1</f>
        <v>2.7639344499750251E-3</v>
      </c>
      <c r="P215" s="9">
        <f>(M215/H215)^(1/5)-1</f>
        <v>5.53615940399943E-2</v>
      </c>
      <c r="Q215" s="9">
        <f>(M215/I215)^(1/4)-1</f>
        <v>9.7038627686386825E-2</v>
      </c>
    </row>
    <row r="216" spans="1:17" ht="12" x14ac:dyDescent="0.15">
      <c r="A216" s="32" t="s">
        <v>44</v>
      </c>
      <c r="B216" s="8">
        <f t="shared" ref="B216:M216" si="141">B213*B215</f>
        <v>11779.777219845253</v>
      </c>
      <c r="C216" s="8">
        <f t="shared" si="141"/>
        <v>14786.57006359522</v>
      </c>
      <c r="D216" s="8">
        <f t="shared" si="141"/>
        <v>16655.335584093802</v>
      </c>
      <c r="E216" s="8">
        <f t="shared" si="141"/>
        <v>9773.3374674053866</v>
      </c>
      <c r="F216" s="8">
        <f t="shared" si="141"/>
        <v>13229.510944897393</v>
      </c>
      <c r="G216" s="8">
        <f t="shared" si="141"/>
        <v>16108.629108162386</v>
      </c>
      <c r="H216" s="8">
        <f t="shared" si="141"/>
        <v>14759.182445778748</v>
      </c>
      <c r="I216" s="8">
        <f t="shared" si="141"/>
        <v>13328.479071600001</v>
      </c>
      <c r="J216" s="8">
        <f t="shared" si="141"/>
        <v>14484.058207107719</v>
      </c>
      <c r="K216" s="8">
        <f t="shared" si="141"/>
        <v>15974.467796619101</v>
      </c>
      <c r="L216" s="8">
        <f t="shared" si="141"/>
        <v>17707.697552552276</v>
      </c>
      <c r="M216" s="8">
        <f t="shared" si="141"/>
        <v>19304.931871792491</v>
      </c>
      <c r="N216" s="8"/>
      <c r="O216" s="9">
        <f>(H216/C216)^(1/5)-1</f>
        <v>-3.7071384595543933E-4</v>
      </c>
      <c r="P216" s="9">
        <f>(M216/H216)^(1/5)-1</f>
        <v>5.5166985582347561E-2</v>
      </c>
      <c r="Q216" s="9">
        <f>(M216/I216)^(1/4)-1</f>
        <v>9.7038627686386825E-2</v>
      </c>
    </row>
    <row r="217" spans="1:17" x14ac:dyDescent="0.15">
      <c r="A217" s="32" t="s">
        <v>45</v>
      </c>
      <c r="B217" s="8"/>
      <c r="C217" s="8"/>
      <c r="D217" s="8"/>
      <c r="E217" s="8"/>
      <c r="F217" s="8"/>
      <c r="G217" s="8"/>
      <c r="I217" s="47">
        <v>0.5</v>
      </c>
      <c r="J217" s="47">
        <v>0.5</v>
      </c>
      <c r="K217" s="47">
        <v>0.5</v>
      </c>
      <c r="L217" s="47">
        <v>0.5</v>
      </c>
      <c r="M217" s="47">
        <v>0.5</v>
      </c>
      <c r="N217" s="47"/>
      <c r="O217" s="47"/>
      <c r="P217" s="47"/>
      <c r="Q217" s="47"/>
    </row>
    <row r="218" spans="1:17" x14ac:dyDescent="0.15">
      <c r="A218" s="32" t="s">
        <v>46</v>
      </c>
      <c r="B218" s="8"/>
      <c r="C218" s="8"/>
      <c r="D218" s="8"/>
      <c r="E218" s="8"/>
      <c r="F218" s="8"/>
      <c r="G218" s="8"/>
      <c r="I218" s="8">
        <f>I217*I211</f>
        <v>1117.7858999999999</v>
      </c>
      <c r="J218" s="8">
        <f>J217*J211</f>
        <v>1214.6979375299998</v>
      </c>
      <c r="K218" s="8">
        <f>K217*K211</f>
        <v>1339.6903553018367</v>
      </c>
      <c r="L218" s="8">
        <f>L217*L211</f>
        <v>1485.046758852086</v>
      </c>
      <c r="M218" s="8">
        <f>M217*M211</f>
        <v>1618.9979765005442</v>
      </c>
      <c r="N218" s="8"/>
      <c r="O218" s="8"/>
      <c r="P218" s="8"/>
      <c r="Q218" s="8"/>
    </row>
    <row r="220" spans="1:17" ht="12" x14ac:dyDescent="0.15">
      <c r="A220" s="34" t="s">
        <v>56</v>
      </c>
      <c r="B220" s="7">
        <v>9932.2378937868998</v>
      </c>
      <c r="C220" s="7">
        <v>9525.5394647501998</v>
      </c>
      <c r="D220" s="7">
        <v>11196.152950142599</v>
      </c>
      <c r="E220" s="7">
        <v>12895.636693807999</v>
      </c>
      <c r="F220" s="7">
        <v>14316.3459403614</v>
      </c>
      <c r="G220" s="7">
        <v>15440.867490028801</v>
      </c>
      <c r="H220" s="7">
        <v>14266.9</v>
      </c>
      <c r="I220" s="8">
        <f>H220*(1+I221)</f>
        <v>15405.398620000002</v>
      </c>
      <c r="J220" s="8">
        <f t="shared" ref="J220:M220" si="142">I220*(1+J221)</f>
        <v>16841.181771384003</v>
      </c>
      <c r="K220" s="8">
        <f t="shared" si="142"/>
        <v>18877.280647544329</v>
      </c>
      <c r="L220" s="8">
        <f t="shared" si="142"/>
        <v>20736.692791327445</v>
      </c>
      <c r="M220" s="8">
        <f t="shared" si="142"/>
        <v>22789.625377668861</v>
      </c>
      <c r="N220" s="26"/>
      <c r="O220" s="9">
        <f>(H220/C220)^(1/5)-1</f>
        <v>8.4146587894222691E-2</v>
      </c>
      <c r="P220" s="9">
        <f>(M220/H220)^(1/5)-1</f>
        <v>9.820018820284937E-2</v>
      </c>
      <c r="Q220" s="9">
        <f>(M220/I220)^(1/4)-1</f>
        <v>0.10284901964256843</v>
      </c>
    </row>
    <row r="221" spans="1:17" ht="12" x14ac:dyDescent="0.15">
      <c r="A221" s="10" t="s">
        <v>18</v>
      </c>
      <c r="B221" s="7"/>
      <c r="C221" s="11">
        <f t="shared" ref="C221:H221" si="143">(C220/B220)-1</f>
        <v>-4.094731050402145E-2</v>
      </c>
      <c r="D221" s="11">
        <f t="shared" si="143"/>
        <v>0.17538255881198106</v>
      </c>
      <c r="E221" s="11">
        <f t="shared" si="143"/>
        <v>0.15179175840427894</v>
      </c>
      <c r="F221" s="11">
        <f t="shared" si="143"/>
        <v>0.11016976364071818</v>
      </c>
      <c r="G221" s="11">
        <f t="shared" si="143"/>
        <v>7.8548084431034226E-2</v>
      </c>
      <c r="H221" s="11">
        <f t="shared" si="143"/>
        <v>-7.6029892153851475E-2</v>
      </c>
      <c r="I221" s="12">
        <v>7.9799999999999996E-2</v>
      </c>
      <c r="J221" s="12">
        <v>9.3200000000000005E-2</v>
      </c>
      <c r="K221" s="12">
        <v>0.12089999999999999</v>
      </c>
      <c r="L221" s="12">
        <v>9.8500000000000004E-2</v>
      </c>
      <c r="M221" s="12">
        <v>9.9000000000000005E-2</v>
      </c>
      <c r="N221" s="12"/>
      <c r="O221" s="12"/>
      <c r="P221" s="12"/>
      <c r="Q221" s="12"/>
    </row>
    <row r="222" spans="1:17" ht="12" x14ac:dyDescent="0.15">
      <c r="A222" s="32" t="s">
        <v>39</v>
      </c>
      <c r="B222" s="7">
        <v>1263.6470132033</v>
      </c>
      <c r="C222" s="7">
        <v>1251.3810609239999</v>
      </c>
      <c r="D222" s="7">
        <v>1596.7965715283999</v>
      </c>
      <c r="E222" s="7">
        <v>1534.3987802232</v>
      </c>
      <c r="F222" s="7">
        <v>1199.4205504813999</v>
      </c>
      <c r="G222" s="7">
        <v>1800.0595745648</v>
      </c>
      <c r="H222" s="7">
        <v>1601.7</v>
      </c>
      <c r="I222" s="8">
        <f>H222*(1+I223)</f>
        <v>1695.7197900000001</v>
      </c>
      <c r="J222" s="8">
        <f t="shared" ref="J222:M222" si="144">I222*(1+J223)</f>
        <v>1882.4185388790002</v>
      </c>
      <c r="K222" s="8">
        <f t="shared" si="144"/>
        <v>2124.6858048327276</v>
      </c>
      <c r="L222" s="8">
        <f t="shared" si="144"/>
        <v>2348.6276886620972</v>
      </c>
      <c r="M222" s="8">
        <f t="shared" si="144"/>
        <v>2609.0904993347235</v>
      </c>
      <c r="N222" s="26"/>
      <c r="O222" s="9">
        <f>(H222/C222)^(1/5)-1</f>
        <v>5.0602233020370146E-2</v>
      </c>
      <c r="P222" s="9">
        <f>(M222/H222)^(1/5)-1</f>
        <v>0.10250760419613658</v>
      </c>
      <c r="Q222" s="9">
        <f>(M222/I222)^(1/4)-1</f>
        <v>0.11373986162080985</v>
      </c>
    </row>
    <row r="223" spans="1:17" ht="12" x14ac:dyDescent="0.15">
      <c r="A223" s="10" t="s">
        <v>18</v>
      </c>
      <c r="C223" s="11">
        <f t="shared" ref="C223:H223" si="145">(C222/B222)-1</f>
        <v>-9.7067869042054555E-3</v>
      </c>
      <c r="D223" s="11">
        <f t="shared" si="145"/>
        <v>0.2760274399145457</v>
      </c>
      <c r="E223" s="11">
        <f t="shared" si="145"/>
        <v>-3.9076857013460975E-2</v>
      </c>
      <c r="F223" s="11">
        <f t="shared" si="145"/>
        <v>-0.21831236707127255</v>
      </c>
      <c r="G223" s="11">
        <f t="shared" si="145"/>
        <v>0.50077433127381998</v>
      </c>
      <c r="H223" s="11">
        <f t="shared" si="145"/>
        <v>-0.11019611648839855</v>
      </c>
      <c r="I223" s="12">
        <v>5.8700000000000002E-2</v>
      </c>
      <c r="J223" s="12">
        <v>0.1101</v>
      </c>
      <c r="K223" s="12">
        <v>0.12870000000000001</v>
      </c>
      <c r="L223" s="12">
        <v>0.10539999999999999</v>
      </c>
      <c r="M223" s="12">
        <v>0.1109</v>
      </c>
      <c r="N223" s="12"/>
      <c r="O223" s="12"/>
      <c r="P223" s="12"/>
      <c r="Q223" s="12"/>
    </row>
    <row r="224" spans="1:17" ht="12" x14ac:dyDescent="0.15">
      <c r="A224" s="10" t="s">
        <v>20</v>
      </c>
      <c r="B224" s="12">
        <f>B222/B220</f>
        <v>0.12722681702919872</v>
      </c>
      <c r="C224" s="12">
        <f>C222/C220</f>
        <v>0.13137114864253166</v>
      </c>
      <c r="D224" s="12">
        <f t="shared" ref="D224:M224" si="146">D222/D220</f>
        <v>0.14262011055396151</v>
      </c>
      <c r="E224" s="12">
        <f t="shared" si="146"/>
        <v>0.11898588775845094</v>
      </c>
      <c r="F224" s="12">
        <f t="shared" si="146"/>
        <v>8.3779796568056522E-2</v>
      </c>
      <c r="G224" s="12">
        <f t="shared" si="146"/>
        <v>0.11657761947165331</v>
      </c>
      <c r="H224" s="12">
        <f t="shared" si="146"/>
        <v>0.11226685544862584</v>
      </c>
      <c r="I224" s="12">
        <f t="shared" si="146"/>
        <v>0.11007308748236726</v>
      </c>
      <c r="J224" s="12">
        <f t="shared" si="146"/>
        <v>0.11177472961413822</v>
      </c>
      <c r="K224" s="12">
        <f t="shared" si="146"/>
        <v>0.11255253574402517</v>
      </c>
      <c r="L224" s="12">
        <f t="shared" si="146"/>
        <v>0.11325951116198946</v>
      </c>
      <c r="M224" s="12">
        <f t="shared" si="146"/>
        <v>0.11448588803444412</v>
      </c>
      <c r="N224" s="12"/>
      <c r="O224" s="12"/>
      <c r="P224" s="12"/>
      <c r="Q224" s="12"/>
    </row>
    <row r="225" spans="1:17" ht="12" x14ac:dyDescent="0.15">
      <c r="A225" s="32" t="s">
        <v>40</v>
      </c>
      <c r="B225" s="51">
        <v>874</v>
      </c>
      <c r="C225" s="51">
        <v>742.7</v>
      </c>
      <c r="D225" s="51">
        <v>1120.3</v>
      </c>
      <c r="E225" s="51">
        <v>1088.5</v>
      </c>
      <c r="F225" s="51">
        <v>661.4</v>
      </c>
      <c r="G225" s="51">
        <v>1074.8</v>
      </c>
      <c r="H225" s="51">
        <v>1006.5</v>
      </c>
      <c r="I225" s="8">
        <f>H225*(1+I226)</f>
        <v>937.35345000000007</v>
      </c>
      <c r="J225" s="8">
        <f t="shared" ref="J225:M225" si="147">I225*(1+J226)</f>
        <v>1081.9870873350001</v>
      </c>
      <c r="K225" s="8">
        <f t="shared" si="147"/>
        <v>1223.6191970671516</v>
      </c>
      <c r="L225" s="8">
        <f t="shared" si="147"/>
        <v>1351.8544889197892</v>
      </c>
      <c r="M225" s="8">
        <f t="shared" si="147"/>
        <v>1501.0992244965341</v>
      </c>
      <c r="N225" s="26"/>
      <c r="O225" s="9">
        <f>(H225/C225)^(1/5)-1</f>
        <v>6.2674039283421523E-2</v>
      </c>
      <c r="P225" s="9">
        <f>(M225/H225)^(1/5)-1</f>
        <v>8.3226121484368809E-2</v>
      </c>
      <c r="Q225" s="9">
        <f>(M225/I225)^(1/4)-1</f>
        <v>0.12493260517893723</v>
      </c>
    </row>
    <row r="226" spans="1:17" ht="12" x14ac:dyDescent="0.15">
      <c r="A226" s="10" t="s">
        <v>18</v>
      </c>
      <c r="C226" s="11">
        <f t="shared" ref="C226:H226" si="148">(C225/B225)-1</f>
        <v>-0.150228832951945</v>
      </c>
      <c r="D226" s="11">
        <f t="shared" si="148"/>
        <v>0.50841524168574104</v>
      </c>
      <c r="E226" s="11">
        <f t="shared" si="148"/>
        <v>-2.8385253949834821E-2</v>
      </c>
      <c r="F226" s="11">
        <f t="shared" si="148"/>
        <v>-0.39237482774460264</v>
      </c>
      <c r="G226" s="11">
        <f t="shared" si="148"/>
        <v>0.62503779860901121</v>
      </c>
      <c r="H226" s="11">
        <f t="shared" si="148"/>
        <v>-6.3546706363974637E-2</v>
      </c>
      <c r="I226" s="12">
        <v>-6.8699999999999997E-2</v>
      </c>
      <c r="J226" s="12">
        <v>0.15429999999999999</v>
      </c>
      <c r="K226" s="12">
        <v>0.13089999999999999</v>
      </c>
      <c r="L226" s="12">
        <v>0.1048</v>
      </c>
      <c r="M226" s="12">
        <v>0.1104</v>
      </c>
      <c r="N226" s="12"/>
      <c r="O226" s="12"/>
      <c r="P226" s="12"/>
      <c r="Q226" s="12"/>
    </row>
    <row r="227" spans="1:17" ht="12" x14ac:dyDescent="0.15">
      <c r="A227" s="40" t="s">
        <v>41</v>
      </c>
      <c r="B227" s="47">
        <v>0.26437080000000002</v>
      </c>
      <c r="C227" s="47">
        <v>0.21135359999999997</v>
      </c>
      <c r="D227" s="47">
        <v>0.21119579999999999</v>
      </c>
      <c r="E227" s="47">
        <v>0.2113534</v>
      </c>
      <c r="F227" s="47">
        <v>0.21114869999999999</v>
      </c>
      <c r="G227" s="47">
        <v>0.21096119999999999</v>
      </c>
      <c r="H227" s="47">
        <v>0.21096119999999999</v>
      </c>
      <c r="I227" s="47">
        <v>0.21096119999999999</v>
      </c>
      <c r="J227" s="47">
        <v>0.21096119999999999</v>
      </c>
      <c r="K227" s="47">
        <v>0.21096119999999999</v>
      </c>
      <c r="L227" s="47">
        <v>0.21096119999999999</v>
      </c>
      <c r="M227" s="47">
        <v>0.21096119999999999</v>
      </c>
      <c r="N227" s="47"/>
      <c r="O227" s="41"/>
      <c r="P227" s="41"/>
      <c r="Q227" s="41"/>
    </row>
    <row r="228" spans="1:17" ht="12" x14ac:dyDescent="0.15">
      <c r="A228" s="32" t="s">
        <v>42</v>
      </c>
      <c r="B228" s="42">
        <v>52.1</v>
      </c>
      <c r="C228" s="42">
        <v>86.3</v>
      </c>
      <c r="D228" s="42">
        <v>89.1</v>
      </c>
      <c r="E228" s="42">
        <v>47.5</v>
      </c>
      <c r="F228" s="42">
        <v>37.6</v>
      </c>
      <c r="G228" s="42">
        <v>72.599999999999994</v>
      </c>
      <c r="H228" s="43">
        <f>H229/H225</f>
        <v>39.914390430203674</v>
      </c>
      <c r="I228" s="43">
        <v>25</v>
      </c>
      <c r="J228" s="43">
        <v>23</v>
      </c>
      <c r="K228" s="43">
        <v>23</v>
      </c>
      <c r="L228" s="43">
        <v>23</v>
      </c>
      <c r="M228" s="43">
        <v>23</v>
      </c>
      <c r="N228" s="43"/>
      <c r="O228" s="43"/>
      <c r="P228" s="43"/>
      <c r="Q228" s="43"/>
    </row>
    <row r="229" spans="1:17" ht="12" x14ac:dyDescent="0.15">
      <c r="A229" s="32" t="s">
        <v>43</v>
      </c>
      <c r="B229" s="44">
        <f>41069.589715*1.062691963</f>
        <v>43644.322913837961</v>
      </c>
      <c r="C229" s="44">
        <f>62384.169317*0.958178454</f>
        <v>59775.166910237298</v>
      </c>
      <c r="D229" s="44">
        <f>93217.752414*1.02635079</f>
        <v>95674.113832133298</v>
      </c>
      <c r="E229" s="44">
        <f>48891.769834*1.058060116</f>
        <v>51730.431662007344</v>
      </c>
      <c r="F229" s="44">
        <f>36482.726796*1.03</f>
        <v>37577.208599880003</v>
      </c>
      <c r="G229" s="44">
        <f>43362.665787*0.96</f>
        <v>41628.159155519999</v>
      </c>
      <c r="H229" s="45">
        <v>40173.833967999999</v>
      </c>
      <c r="I229" s="45">
        <f>I228*I225</f>
        <v>23433.83625</v>
      </c>
      <c r="J229" s="45">
        <f t="shared" ref="J229:M229" si="149">J228*J225</f>
        <v>24885.703008705001</v>
      </c>
      <c r="K229" s="45">
        <f t="shared" si="149"/>
        <v>28143.241532544489</v>
      </c>
      <c r="L229" s="45">
        <f t="shared" si="149"/>
        <v>31092.653245155154</v>
      </c>
      <c r="M229" s="45">
        <f t="shared" si="149"/>
        <v>34525.282163420285</v>
      </c>
      <c r="N229" s="8"/>
      <c r="O229" s="9">
        <f>(H229/C229)^(1/5)-1</f>
        <v>-7.6398782834481871E-2</v>
      </c>
      <c r="P229" s="9">
        <f>(M229/H229)^(1/5)-1</f>
        <v>-2.9850216162543131E-2</v>
      </c>
      <c r="Q229" s="9">
        <f>(M229/I229)^(1/4)-1</f>
        <v>0.10172565201224781</v>
      </c>
    </row>
    <row r="230" spans="1:17" ht="12" x14ac:dyDescent="0.15">
      <c r="A230" s="32" t="s">
        <v>44</v>
      </c>
      <c r="B230" s="8">
        <f t="shared" ref="B230:M230" si="150">B227*B229</f>
        <v>11538.284564189673</v>
      </c>
      <c r="C230" s="8">
        <f t="shared" si="150"/>
        <v>12633.696717079529</v>
      </c>
      <c r="D230" s="8">
        <f t="shared" si="150"/>
        <v>20205.971010068457</v>
      </c>
      <c r="E230" s="8">
        <f t="shared" si="150"/>
        <v>10933.402615232902</v>
      </c>
      <c r="F230" s="8">
        <f t="shared" si="150"/>
        <v>7934.3787454934827</v>
      </c>
      <c r="G230" s="8">
        <f t="shared" si="150"/>
        <v>8781.926409239486</v>
      </c>
      <c r="H230" s="8">
        <f>H227*H229</f>
        <v>8475.1202224900408</v>
      </c>
      <c r="I230" s="8">
        <f t="shared" si="150"/>
        <v>4943.6302159034994</v>
      </c>
      <c r="J230" s="8">
        <f t="shared" si="150"/>
        <v>5249.9177695600174</v>
      </c>
      <c r="K230" s="8">
        <f t="shared" si="150"/>
        <v>5937.1320055954238</v>
      </c>
      <c r="L230" s="8">
        <f t="shared" si="150"/>
        <v>6559.3434397818255</v>
      </c>
      <c r="M230" s="8">
        <f t="shared" si="150"/>
        <v>7283.4949555337389</v>
      </c>
      <c r="N230" s="8"/>
      <c r="O230" s="9">
        <f>(H230/C230)^(1/5)-1</f>
        <v>-7.6741990205322352E-2</v>
      </c>
      <c r="P230" s="9">
        <f>(M230/H230)^(1/5)-1</f>
        <v>-2.9850216162543131E-2</v>
      </c>
      <c r="Q230" s="9">
        <f>(M230/I230)^(1/4)-1</f>
        <v>0.10172565201224781</v>
      </c>
    </row>
    <row r="231" spans="1:17" x14ac:dyDescent="0.15">
      <c r="A231" s="32" t="s">
        <v>45</v>
      </c>
      <c r="B231" s="8"/>
      <c r="C231" s="8"/>
      <c r="D231" s="8"/>
      <c r="E231" s="8"/>
      <c r="F231" s="8"/>
      <c r="G231" s="8"/>
      <c r="I231" s="47">
        <v>0.55000000000000004</v>
      </c>
      <c r="J231" s="47">
        <v>0.55000000000000004</v>
      </c>
      <c r="K231" s="47">
        <v>0.55000000000000004</v>
      </c>
      <c r="L231" s="47">
        <v>0.55000000000000004</v>
      </c>
      <c r="M231" s="47">
        <v>0.55000000000000004</v>
      </c>
      <c r="N231" s="47"/>
      <c r="O231" s="47"/>
      <c r="P231" s="47"/>
      <c r="Q231" s="47"/>
    </row>
    <row r="232" spans="1:17" x14ac:dyDescent="0.15">
      <c r="A232" s="32" t="s">
        <v>46</v>
      </c>
      <c r="B232" s="8"/>
      <c r="C232" s="8"/>
      <c r="D232" s="8"/>
      <c r="E232" s="8"/>
      <c r="F232" s="8"/>
      <c r="G232" s="8"/>
      <c r="I232" s="8">
        <f>I231*I225</f>
        <v>515.54439750000006</v>
      </c>
      <c r="J232" s="8">
        <f>J231*J225</f>
        <v>595.09289803425008</v>
      </c>
      <c r="K232" s="8">
        <f>K231*K225</f>
        <v>672.99055838693346</v>
      </c>
      <c r="L232" s="8">
        <f>L231*L225</f>
        <v>743.51996890588418</v>
      </c>
      <c r="M232" s="8">
        <f>M231*M225</f>
        <v>825.60457347309386</v>
      </c>
      <c r="N232" s="8"/>
      <c r="O232" s="8"/>
      <c r="P232" s="8"/>
      <c r="Q232" s="8"/>
    </row>
    <row r="234" spans="1:17" ht="12" x14ac:dyDescent="0.15">
      <c r="A234" s="34" t="s">
        <v>57</v>
      </c>
      <c r="B234" s="7">
        <v>1760.8025399068611</v>
      </c>
      <c r="C234" s="7">
        <v>1643.709352353568</v>
      </c>
      <c r="D234" s="7">
        <v>2594.257332129866</v>
      </c>
      <c r="E234" s="7">
        <v>3164.7661721736622</v>
      </c>
      <c r="F234" s="7">
        <v>2937.6577174867521</v>
      </c>
      <c r="G234" s="7">
        <v>3191.5709365854718</v>
      </c>
      <c r="H234" s="7">
        <v>2840.2</v>
      </c>
      <c r="I234" s="8">
        <f>H234*(1+I235)</f>
        <v>3040.4340999999999</v>
      </c>
      <c r="J234" s="8">
        <f t="shared" ref="J234:M234" si="151">I234*(1+J235)</f>
        <v>3314.3772124100001</v>
      </c>
      <c r="K234" s="8">
        <f t="shared" si="151"/>
        <v>3656.4209407307121</v>
      </c>
      <c r="L234" s="8">
        <f t="shared" si="151"/>
        <v>3998.6619407831063</v>
      </c>
      <c r="M234" s="8">
        <f t="shared" si="151"/>
        <v>4290.1643962661947</v>
      </c>
      <c r="N234" s="26"/>
      <c r="O234" s="9">
        <f>(H234/C234)^(1/5)-1</f>
        <v>0.11559042826910293</v>
      </c>
      <c r="P234" s="9">
        <f>(M234/H234)^(1/5)-1</f>
        <v>8.5987939651693379E-2</v>
      </c>
      <c r="Q234" s="9">
        <f>(M234/I234)^(1/4)-1</f>
        <v>8.9894811021553167E-2</v>
      </c>
    </row>
    <row r="235" spans="1:17" ht="12" x14ac:dyDescent="0.15">
      <c r="A235" s="10" t="s">
        <v>18</v>
      </c>
      <c r="B235" s="7"/>
      <c r="C235" s="11">
        <f t="shared" ref="C235:H235" si="152">(C234/B234)-1</f>
        <v>-6.64998970068994E-2</v>
      </c>
      <c r="D235" s="11">
        <f t="shared" si="152"/>
        <v>0.57829444020333809</v>
      </c>
      <c r="E235" s="11">
        <f t="shared" si="152"/>
        <v>0.21991220106735243</v>
      </c>
      <c r="F235" s="11">
        <f t="shared" si="152"/>
        <v>-7.1761527497282596E-2</v>
      </c>
      <c r="G235" s="11">
        <f t="shared" si="152"/>
        <v>8.6433901944148017E-2</v>
      </c>
      <c r="H235" s="11">
        <f t="shared" si="152"/>
        <v>-0.11009341279482543</v>
      </c>
      <c r="I235" s="12">
        <v>7.0499999999999993E-2</v>
      </c>
      <c r="J235" s="12">
        <v>9.01E-2</v>
      </c>
      <c r="K235" s="12">
        <v>0.1032</v>
      </c>
      <c r="L235" s="12">
        <v>9.3600000000000003E-2</v>
      </c>
      <c r="M235" s="12">
        <v>7.2900000000000006E-2</v>
      </c>
      <c r="N235" s="12"/>
      <c r="O235" s="12"/>
      <c r="P235" s="12"/>
      <c r="Q235" s="12"/>
    </row>
    <row r="236" spans="1:17" ht="12" x14ac:dyDescent="0.15">
      <c r="A236" s="32" t="s">
        <v>39</v>
      </c>
      <c r="B236" s="7">
        <v>345.484598637945</v>
      </c>
      <c r="C236" s="7">
        <v>314.53461833095702</v>
      </c>
      <c r="D236" s="7">
        <v>540.82076761102405</v>
      </c>
      <c r="E236" s="7">
        <v>545.37659315041003</v>
      </c>
      <c r="F236" s="7">
        <v>551.61117679831796</v>
      </c>
      <c r="G236" s="7">
        <v>511.09775546172801</v>
      </c>
      <c r="H236" s="7">
        <v>357.4</v>
      </c>
      <c r="I236" s="8">
        <f>H236*(1+I237)</f>
        <v>328.87948</v>
      </c>
      <c r="J236" s="8">
        <f t="shared" ref="J236:M236" si="153">I236*(1+J237)</f>
        <v>389.55774405999995</v>
      </c>
      <c r="K236" s="8">
        <f t="shared" si="153"/>
        <v>455.70464900138791</v>
      </c>
      <c r="L236" s="8">
        <f t="shared" si="153"/>
        <v>514.85511244176803</v>
      </c>
      <c r="M236" s="8">
        <f t="shared" si="153"/>
        <v>571.38620378787414</v>
      </c>
      <c r="N236" s="26"/>
      <c r="O236" s="9">
        <f>(H236/C236)^(1/5)-1</f>
        <v>2.5881549949555938E-2</v>
      </c>
      <c r="P236" s="9">
        <f>(M236/H236)^(1/5)-1</f>
        <v>9.8386130556338935E-2</v>
      </c>
      <c r="Q236" s="9">
        <f>(M236/I236)^(1/4)-1</f>
        <v>0.14808288625953314</v>
      </c>
    </row>
    <row r="237" spans="1:17" ht="12" x14ac:dyDescent="0.15">
      <c r="A237" s="10" t="s">
        <v>18</v>
      </c>
      <c r="C237" s="11">
        <f t="shared" ref="C237:H237" si="154">(C236/B236)-1</f>
        <v>-8.9584254780116557E-2</v>
      </c>
      <c r="D237" s="11">
        <f t="shared" si="154"/>
        <v>0.71943161767321295</v>
      </c>
      <c r="E237" s="11">
        <f t="shared" si="154"/>
        <v>8.4239101237004732E-3</v>
      </c>
      <c r="F237" s="11">
        <f t="shared" si="154"/>
        <v>1.1431703755185652E-2</v>
      </c>
      <c r="G237" s="11">
        <f t="shared" si="154"/>
        <v>-7.3445613578280722E-2</v>
      </c>
      <c r="H237" s="11">
        <f t="shared" si="154"/>
        <v>-0.30072085783839297</v>
      </c>
      <c r="I237" s="12">
        <v>-7.9799999999999996E-2</v>
      </c>
      <c r="J237" s="12">
        <v>0.1845</v>
      </c>
      <c r="K237" s="12">
        <v>0.16980000000000001</v>
      </c>
      <c r="L237" s="12">
        <v>0.1298</v>
      </c>
      <c r="M237" s="12">
        <v>0.10979999999999999</v>
      </c>
      <c r="N237" s="12"/>
      <c r="O237" s="12"/>
      <c r="P237" s="12"/>
      <c r="Q237" s="12"/>
    </row>
    <row r="238" spans="1:17" ht="12" x14ac:dyDescent="0.15">
      <c r="A238" s="10" t="s">
        <v>20</v>
      </c>
      <c r="B238" s="12">
        <f>B236/B234</f>
        <v>0.19620859852702147</v>
      </c>
      <c r="C238" s="12">
        <f>C236/C234</f>
        <v>0.19135659104244085</v>
      </c>
      <c r="D238" s="12">
        <f t="shared" ref="D238:M238" si="155">D236/D234</f>
        <v>0.20846843561467907</v>
      </c>
      <c r="E238" s="12">
        <f t="shared" si="155"/>
        <v>0.17232761078706424</v>
      </c>
      <c r="F238" s="12">
        <f t="shared" si="155"/>
        <v>0.18777244657020037</v>
      </c>
      <c r="G238" s="12">
        <f t="shared" si="155"/>
        <v>0.16013987018208975</v>
      </c>
      <c r="H238" s="12">
        <f t="shared" si="155"/>
        <v>0.12583620871769594</v>
      </c>
      <c r="I238" s="12">
        <f t="shared" si="155"/>
        <v>0.10816859342552433</v>
      </c>
      <c r="J238" s="12">
        <f t="shared" si="155"/>
        <v>0.11753572966932718</v>
      </c>
      <c r="K238" s="12">
        <f t="shared" si="155"/>
        <v>0.12463134206597073</v>
      </c>
      <c r="L238" s="12">
        <f t="shared" si="155"/>
        <v>0.12875684918263877</v>
      </c>
      <c r="M238" s="12">
        <f t="shared" si="155"/>
        <v>0.13318515353051774</v>
      </c>
      <c r="N238" s="12"/>
      <c r="O238" s="12"/>
      <c r="P238" s="12"/>
      <c r="Q238" s="12"/>
    </row>
    <row r="239" spans="1:17" ht="12" x14ac:dyDescent="0.15">
      <c r="A239" s="32" t="s">
        <v>40</v>
      </c>
      <c r="B239" s="7">
        <v>255.294824640608</v>
      </c>
      <c r="C239" s="7">
        <v>233.46226309984701</v>
      </c>
      <c r="D239" s="7">
        <v>409.03992381471897</v>
      </c>
      <c r="E239" s="7">
        <v>409.89860828058801</v>
      </c>
      <c r="F239" s="7">
        <v>396.99819777472402</v>
      </c>
      <c r="G239" s="7">
        <v>358.54528457849602</v>
      </c>
      <c r="H239" s="7">
        <v>145.6</v>
      </c>
      <c r="I239" s="8">
        <f>H239*(1+I240)</f>
        <v>170.81791999999999</v>
      </c>
      <c r="J239" s="8">
        <f t="shared" ref="J239:M239" si="156">I239*(1+J240)</f>
        <v>203.051261504</v>
      </c>
      <c r="K239" s="8">
        <f t="shared" si="156"/>
        <v>232.83888156663681</v>
      </c>
      <c r="L239" s="8">
        <f t="shared" si="156"/>
        <v>261.92045787430976</v>
      </c>
      <c r="M239" s="8">
        <f t="shared" si="156"/>
        <v>288.06011957016591</v>
      </c>
      <c r="N239" s="26"/>
      <c r="O239" s="9">
        <f>(H239/C239)^(1/5)-1</f>
        <v>-9.0109906219275504E-2</v>
      </c>
      <c r="P239" s="9">
        <f>(M239/H239)^(1/5)-1</f>
        <v>0.14621042024748943</v>
      </c>
      <c r="Q239" s="9">
        <f>(M239/I239)^(1/4)-1</f>
        <v>0.13956060425549732</v>
      </c>
    </row>
    <row r="240" spans="1:17" ht="12" x14ac:dyDescent="0.15">
      <c r="A240" s="10" t="s">
        <v>18</v>
      </c>
      <c r="C240" s="11">
        <f t="shared" ref="C240:H240" si="157">(C239/B239)-1</f>
        <v>-8.5519013444537495E-2</v>
      </c>
      <c r="D240" s="11">
        <f t="shared" si="157"/>
        <v>0.75206013333204536</v>
      </c>
      <c r="E240" s="11">
        <f t="shared" si="157"/>
        <v>2.0992681053255691E-3</v>
      </c>
      <c r="F240" s="11">
        <f t="shared" si="157"/>
        <v>-3.1472198844435417E-2</v>
      </c>
      <c r="G240" s="11">
        <f t="shared" si="157"/>
        <v>-9.6859163119042746E-2</v>
      </c>
      <c r="H240" s="11">
        <f t="shared" si="157"/>
        <v>-0.5939146147991694</v>
      </c>
      <c r="I240" s="12">
        <v>0.17319999999999999</v>
      </c>
      <c r="J240" s="12">
        <v>0.18870000000000001</v>
      </c>
      <c r="K240" s="12">
        <v>0.1467</v>
      </c>
      <c r="L240" s="12">
        <v>0.1249</v>
      </c>
      <c r="M240" s="12">
        <v>9.98E-2</v>
      </c>
      <c r="N240" s="12"/>
      <c r="O240" s="12"/>
      <c r="P240" s="12"/>
      <c r="Q240" s="12"/>
    </row>
    <row r="241" spans="1:17" ht="12" x14ac:dyDescent="0.15">
      <c r="A241" s="40" t="s">
        <v>41</v>
      </c>
      <c r="B241" s="47">
        <v>0.30099999999999999</v>
      </c>
      <c r="C241" s="47">
        <v>0.30166870000000001</v>
      </c>
      <c r="D241" s="47">
        <v>0.30166870000000001</v>
      </c>
      <c r="E241" s="47">
        <v>0.30166870000000001</v>
      </c>
      <c r="F241" s="47">
        <v>0.3012745</v>
      </c>
      <c r="G241" s="47">
        <v>0.30258000000000002</v>
      </c>
      <c r="H241" s="47">
        <v>0.30258000000000002</v>
      </c>
      <c r="I241" s="47">
        <v>0.30258000000000002</v>
      </c>
      <c r="J241" s="47">
        <v>0.30258000000000002</v>
      </c>
      <c r="K241" s="47">
        <v>0.30258000000000002</v>
      </c>
      <c r="L241" s="47">
        <v>0.30258000000000002</v>
      </c>
      <c r="M241" s="47">
        <v>0.30258000000000002</v>
      </c>
      <c r="N241" s="47"/>
      <c r="O241" s="41"/>
      <c r="P241" s="41"/>
      <c r="Q241" s="41"/>
    </row>
    <row r="242" spans="1:17" ht="12" x14ac:dyDescent="0.15">
      <c r="A242" s="32" t="s">
        <v>42</v>
      </c>
      <c r="B242" s="42">
        <v>26.4</v>
      </c>
      <c r="C242" s="42">
        <v>48.1</v>
      </c>
      <c r="D242" s="42">
        <v>72.3</v>
      </c>
      <c r="E242" s="42">
        <v>26.2</v>
      </c>
      <c r="F242" s="42">
        <v>38.299999999999997</v>
      </c>
      <c r="G242" s="42">
        <v>37.4</v>
      </c>
      <c r="H242" s="43">
        <f>H243/H239</f>
        <v>61.24281914835165</v>
      </c>
      <c r="I242" s="43">
        <v>30</v>
      </c>
      <c r="J242" s="43">
        <v>25</v>
      </c>
      <c r="K242" s="43">
        <v>25</v>
      </c>
      <c r="L242" s="43">
        <v>20</v>
      </c>
      <c r="M242" s="43">
        <v>20</v>
      </c>
      <c r="N242" s="43"/>
      <c r="O242" s="43"/>
      <c r="P242" s="43"/>
      <c r="Q242" s="43"/>
    </row>
    <row r="243" spans="1:17" ht="12" x14ac:dyDescent="0.15">
      <c r="A243" s="32" t="s">
        <v>43</v>
      </c>
      <c r="B243" s="44">
        <v>7248</v>
      </c>
      <c r="C243" s="44">
        <v>11506.437400000003</v>
      </c>
      <c r="D243" s="44">
        <v>27748.354500000001</v>
      </c>
      <c r="E243" s="44">
        <v>10931.7142</v>
      </c>
      <c r="F243" s="44">
        <v>14842.464202999998</v>
      </c>
      <c r="G243" s="44">
        <v>13465.199699999999</v>
      </c>
      <c r="H243" s="45">
        <v>8916.9544679999999</v>
      </c>
      <c r="I243" s="45">
        <f>I242*I239</f>
        <v>5124.5375999999997</v>
      </c>
      <c r="J243" s="45">
        <f t="shared" ref="J243:M243" si="158">J242*J239</f>
        <v>5076.2815375999999</v>
      </c>
      <c r="K243" s="45">
        <f t="shared" si="158"/>
        <v>5820.9720391659203</v>
      </c>
      <c r="L243" s="45">
        <f t="shared" si="158"/>
        <v>5238.409157486195</v>
      </c>
      <c r="M243" s="45">
        <f t="shared" si="158"/>
        <v>5761.202391403318</v>
      </c>
      <c r="N243" s="8"/>
      <c r="O243" s="9">
        <f>(H243/C243)^(1/5)-1</f>
        <v>-4.9712243188131167E-2</v>
      </c>
      <c r="P243" s="9">
        <f>(M243/H243)^(1/5)-1</f>
        <v>-8.3654362441744845E-2</v>
      </c>
      <c r="Q243" s="9">
        <f>(M243/I243)^(1/4)-1</f>
        <v>2.9709245240112869E-2</v>
      </c>
    </row>
    <row r="244" spans="1:17" ht="12" x14ac:dyDescent="0.15">
      <c r="A244" s="32" t="s">
        <v>44</v>
      </c>
      <c r="B244" s="8">
        <f t="shared" ref="B244:M244" si="159">B241*B243</f>
        <v>2181.6480000000001</v>
      </c>
      <c r="C244" s="8">
        <f t="shared" si="159"/>
        <v>3471.1320120893811</v>
      </c>
      <c r="D244" s="8">
        <f t="shared" si="159"/>
        <v>8370.8100291541505</v>
      </c>
      <c r="E244" s="8">
        <f t="shared" si="159"/>
        <v>3297.7560114855401</v>
      </c>
      <c r="F244" s="8">
        <f t="shared" si="159"/>
        <v>4471.6559815267228</v>
      </c>
      <c r="G244" s="8">
        <f t="shared" si="159"/>
        <v>4074.3001252260001</v>
      </c>
      <c r="H244" s="8">
        <f t="shared" si="159"/>
        <v>2698.0920829274401</v>
      </c>
      <c r="I244" s="8">
        <f t="shared" si="159"/>
        <v>1550.582587008</v>
      </c>
      <c r="J244" s="8">
        <f t="shared" si="159"/>
        <v>1535.9812676470081</v>
      </c>
      <c r="K244" s="8">
        <f t="shared" si="159"/>
        <v>1761.3097196108242</v>
      </c>
      <c r="L244" s="8">
        <f t="shared" si="159"/>
        <v>1585.0378428721729</v>
      </c>
      <c r="M244" s="8">
        <f t="shared" si="159"/>
        <v>1743.224619590816</v>
      </c>
      <c r="N244" s="8"/>
      <c r="O244" s="9">
        <f>(H244/C244)^(1/5)-1</f>
        <v>-4.9138797748395135E-2</v>
      </c>
      <c r="P244" s="9">
        <f>(M244/H244)^(1/5)-1</f>
        <v>-8.3654362441744845E-2</v>
      </c>
      <c r="Q244" s="9">
        <f>(M244/I244)^(1/4)-1</f>
        <v>2.9709245240112869E-2</v>
      </c>
    </row>
    <row r="245" spans="1:17" x14ac:dyDescent="0.15">
      <c r="A245" s="32" t="s">
        <v>45</v>
      </c>
      <c r="B245" s="8"/>
      <c r="C245" s="8"/>
      <c r="D245" s="8"/>
      <c r="E245" s="8"/>
      <c r="F245" s="8"/>
      <c r="G245" s="8"/>
      <c r="I245" s="47">
        <v>0.5</v>
      </c>
      <c r="J245" s="47">
        <v>0.5</v>
      </c>
      <c r="K245" s="47">
        <v>0.5</v>
      </c>
      <c r="L245" s="47">
        <v>0.5</v>
      </c>
      <c r="M245" s="47">
        <v>0.5</v>
      </c>
      <c r="N245" s="47"/>
      <c r="O245" s="47"/>
      <c r="P245" s="47"/>
      <c r="Q245" s="47"/>
    </row>
    <row r="246" spans="1:17" x14ac:dyDescent="0.15">
      <c r="A246" s="32" t="s">
        <v>46</v>
      </c>
      <c r="B246" s="8"/>
      <c r="C246" s="8"/>
      <c r="D246" s="8"/>
      <c r="E246" s="8"/>
      <c r="F246" s="8"/>
      <c r="G246" s="8"/>
      <c r="I246" s="8">
        <f>I245*I239</f>
        <v>85.408959999999993</v>
      </c>
      <c r="J246" s="8">
        <f>J245*J239</f>
        <v>101.525630752</v>
      </c>
      <c r="K246" s="8">
        <f>K245*K239</f>
        <v>116.41944078331841</v>
      </c>
      <c r="L246" s="8">
        <f>L245*L239</f>
        <v>130.96022893715488</v>
      </c>
      <c r="M246" s="8">
        <f>M245*M239</f>
        <v>144.03005978508295</v>
      </c>
      <c r="N246" s="8"/>
      <c r="O246" s="8"/>
      <c r="P246" s="8"/>
      <c r="Q246" s="8"/>
    </row>
    <row r="247" spans="1:17" x14ac:dyDescent="0.15">
      <c r="B247" s="8"/>
      <c r="C247" s="8"/>
      <c r="D247" s="8"/>
      <c r="E247" s="8"/>
      <c r="F247" s="8"/>
      <c r="G247" s="8"/>
    </row>
    <row r="248" spans="1:17" ht="12" x14ac:dyDescent="0.15">
      <c r="A248" s="32" t="s">
        <v>58</v>
      </c>
      <c r="B248" s="8">
        <v>0</v>
      </c>
      <c r="C248" s="8">
        <v>29</v>
      </c>
      <c r="D248" s="8">
        <v>65</v>
      </c>
      <c r="E248" s="8">
        <v>0</v>
      </c>
      <c r="F248" s="8">
        <v>173</v>
      </c>
      <c r="G248" s="8">
        <v>160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</row>
    <row r="250" spans="1:17" ht="12" x14ac:dyDescent="0.15">
      <c r="A250" s="34" t="s">
        <v>59</v>
      </c>
      <c r="B250" s="39">
        <v>65574</v>
      </c>
      <c r="C250" s="39">
        <v>68094</v>
      </c>
      <c r="D250" s="39">
        <v>98503</v>
      </c>
      <c r="E250" s="39">
        <v>64202</v>
      </c>
      <c r="F250" s="39">
        <v>79011</v>
      </c>
      <c r="G250" s="39">
        <v>88833</v>
      </c>
      <c r="H250" s="39">
        <f>SUM(H118+H132+H146+H160+H174+H188+H202+H216+H230+H244+H248)</f>
        <v>88670.657116262271</v>
      </c>
      <c r="I250" s="39">
        <f t="shared" ref="I250:M250" si="160">SUM(I118+I132+I146+I160+I174+I188+I202+I216+I230+I244+I248)</f>
        <v>74202.040391941686</v>
      </c>
      <c r="J250" s="39">
        <f t="shared" si="160"/>
        <v>79234.583417752641</v>
      </c>
      <c r="K250" s="39">
        <f t="shared" si="160"/>
        <v>85692.143044769837</v>
      </c>
      <c r="L250" s="39">
        <f t="shared" si="160"/>
        <v>93592.59697932507</v>
      </c>
      <c r="M250" s="39">
        <f t="shared" si="160"/>
        <v>102042.99574740748</v>
      </c>
      <c r="N250" s="52"/>
      <c r="O250" s="9">
        <f>(H250/C250)^(1/5)-1</f>
        <v>5.4227197325526166E-2</v>
      </c>
      <c r="P250" s="9">
        <f>(M250/H250)^(1/5)-1</f>
        <v>2.8491376408452673E-2</v>
      </c>
      <c r="Q250" s="9">
        <f>(M250/I250)^(1/4)-1</f>
        <v>8.2908688264567099E-2</v>
      </c>
    </row>
    <row r="251" spans="1:17" ht="12" x14ac:dyDescent="0.15">
      <c r="A251" s="10" t="s">
        <v>18</v>
      </c>
      <c r="C251" s="11">
        <f t="shared" ref="C251:M251" si="161">(C250/B250)-1</f>
        <v>3.8429865495470672E-2</v>
      </c>
      <c r="D251" s="11">
        <f t="shared" si="161"/>
        <v>0.44657385379034853</v>
      </c>
      <c r="E251" s="11">
        <f t="shared" si="161"/>
        <v>-0.34822289676456553</v>
      </c>
      <c r="F251" s="11">
        <f t="shared" si="161"/>
        <v>0.23066259618080442</v>
      </c>
      <c r="G251" s="11">
        <f t="shared" si="161"/>
        <v>0.12431180468542347</v>
      </c>
      <c r="H251" s="11">
        <f t="shared" si="161"/>
        <v>-1.8275064867530055E-3</v>
      </c>
      <c r="I251" s="11">
        <f t="shared" si="161"/>
        <v>-0.16317254427639771</v>
      </c>
      <c r="J251" s="11">
        <f t="shared" si="161"/>
        <v>6.7822164986685252E-2</v>
      </c>
      <c r="K251" s="11">
        <f t="shared" si="161"/>
        <v>8.1499256366007078E-2</v>
      </c>
      <c r="L251" s="11">
        <f t="shared" si="161"/>
        <v>9.2195779611062401E-2</v>
      </c>
      <c r="M251" s="11">
        <f t="shared" si="161"/>
        <v>9.0289179281445975E-2</v>
      </c>
      <c r="N251" s="12"/>
      <c r="O251" s="12"/>
      <c r="P251" s="12"/>
      <c r="Q251" s="12"/>
    </row>
    <row r="252" spans="1:17" ht="12" x14ac:dyDescent="0.15">
      <c r="A252" s="34" t="s">
        <v>37</v>
      </c>
      <c r="B252" s="39">
        <f>B106</f>
        <v>28798</v>
      </c>
      <c r="C252" s="39">
        <f t="shared" ref="C252:L252" si="162">C106</f>
        <v>34493</v>
      </c>
      <c r="D252" s="39">
        <f t="shared" si="162"/>
        <v>47964</v>
      </c>
      <c r="E252" s="39">
        <f t="shared" si="162"/>
        <v>48448</v>
      </c>
      <c r="F252" s="39">
        <f t="shared" si="162"/>
        <v>57676.5</v>
      </c>
      <c r="G252" s="39">
        <f t="shared" si="162"/>
        <v>61087</v>
      </c>
      <c r="H252" s="39">
        <f t="shared" si="162"/>
        <v>64642.5</v>
      </c>
      <c r="I252" s="39">
        <f t="shared" si="162"/>
        <v>63518.212399999989</v>
      </c>
      <c r="J252" s="39">
        <f t="shared" si="162"/>
        <v>70562.505028279993</v>
      </c>
      <c r="K252" s="39">
        <f t="shared" si="162"/>
        <v>78229.703459460987</v>
      </c>
      <c r="L252" s="39">
        <f t="shared" si="162"/>
        <v>87062.718905577829</v>
      </c>
      <c r="M252" s="39">
        <f>M106</f>
        <v>96713.35660227992</v>
      </c>
      <c r="N252" s="36"/>
      <c r="O252" s="9">
        <f>(H252/C252)^(1/5)-1</f>
        <v>0.13385477968373416</v>
      </c>
      <c r="P252" s="9">
        <f>(M252/H252)^(1/5)-1</f>
        <v>8.3911096728955803E-2</v>
      </c>
      <c r="Q252" s="9">
        <f>(M252/I252)^(1/4)-1</f>
        <v>0.11082858597610046</v>
      </c>
    </row>
    <row r="253" spans="1:17" ht="12" x14ac:dyDescent="0.15">
      <c r="A253" s="10" t="s">
        <v>18</v>
      </c>
      <c r="C253" s="11">
        <f t="shared" ref="C253:M253" si="163">(C252/B252)-1</f>
        <v>0.19775678866587953</v>
      </c>
      <c r="D253" s="11">
        <f t="shared" si="163"/>
        <v>0.39054300872640835</v>
      </c>
      <c r="E253" s="11">
        <f t="shared" si="163"/>
        <v>1.0090901509465455E-2</v>
      </c>
      <c r="F253" s="11">
        <f t="shared" si="163"/>
        <v>0.19048257926023782</v>
      </c>
      <c r="G253" s="11">
        <f t="shared" si="163"/>
        <v>5.9131535374025823E-2</v>
      </c>
      <c r="H253" s="11">
        <f t="shared" si="163"/>
        <v>5.820387316450315E-2</v>
      </c>
      <c r="I253" s="11">
        <f t="shared" si="163"/>
        <v>-1.7392390455196027E-2</v>
      </c>
      <c r="J253" s="11">
        <f t="shared" si="163"/>
        <v>0.11090193445494401</v>
      </c>
      <c r="K253" s="11">
        <f t="shared" si="163"/>
        <v>0.10865825168916743</v>
      </c>
      <c r="L253" s="11">
        <f t="shared" si="163"/>
        <v>0.11291127353811525</v>
      </c>
      <c r="M253" s="11">
        <f t="shared" si="163"/>
        <v>0.11084695973219616</v>
      </c>
      <c r="N253" s="12"/>
      <c r="O253" s="12"/>
      <c r="P253" s="12"/>
      <c r="Q253" s="12"/>
    </row>
    <row r="254" spans="1:17" ht="11" x14ac:dyDescent="0.15">
      <c r="A254" s="10"/>
      <c r="C254" s="11"/>
      <c r="D254" s="11"/>
      <c r="E254" s="11"/>
      <c r="F254" s="11"/>
      <c r="G254" s="11"/>
      <c r="H254" s="11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 ht="12" x14ac:dyDescent="0.15">
      <c r="A255" s="34" t="s">
        <v>60</v>
      </c>
      <c r="B255" s="35">
        <f>B250+B252</f>
        <v>94372</v>
      </c>
      <c r="C255" s="35">
        <f t="shared" ref="C255:M255" si="164">C250+C252</f>
        <v>102587</v>
      </c>
      <c r="D255" s="35">
        <f t="shared" si="164"/>
        <v>146467</v>
      </c>
      <c r="E255" s="35">
        <f t="shared" si="164"/>
        <v>112650</v>
      </c>
      <c r="F255" s="35">
        <f t="shared" si="164"/>
        <v>136687.5</v>
      </c>
      <c r="G255" s="35">
        <f t="shared" si="164"/>
        <v>149920</v>
      </c>
      <c r="H255" s="35">
        <f t="shared" si="164"/>
        <v>153313.15711626227</v>
      </c>
      <c r="I255" s="35">
        <f t="shared" si="164"/>
        <v>137720.25279194169</v>
      </c>
      <c r="J255" s="35">
        <f t="shared" si="164"/>
        <v>149797.08844603263</v>
      </c>
      <c r="K255" s="35">
        <f t="shared" si="164"/>
        <v>163921.84650423081</v>
      </c>
      <c r="L255" s="35">
        <f t="shared" si="164"/>
        <v>180655.3158849029</v>
      </c>
      <c r="M255" s="35">
        <f t="shared" si="164"/>
        <v>198756.3523496874</v>
      </c>
      <c r="N255" s="36"/>
      <c r="O255" s="9">
        <f>(H255/C255)^(1/5)-1</f>
        <v>8.3670920241935454E-2</v>
      </c>
      <c r="P255" s="9">
        <f>(M255/H255)^(1/5)-1</f>
        <v>5.329086626376256E-2</v>
      </c>
      <c r="Q255" s="9">
        <f>(M255/I255)^(1/4)-1</f>
        <v>9.6051098467378804E-2</v>
      </c>
    </row>
    <row r="256" spans="1:17" ht="12" x14ac:dyDescent="0.15">
      <c r="A256" s="32" t="s">
        <v>61</v>
      </c>
      <c r="B256" s="53">
        <v>-7479</v>
      </c>
      <c r="C256" s="33">
        <v>-4613</v>
      </c>
      <c r="D256" s="33">
        <v>-8443</v>
      </c>
      <c r="E256" s="33">
        <v>-11067</v>
      </c>
      <c r="F256" s="33">
        <v>-9983</v>
      </c>
      <c r="G256" s="33">
        <v>-12292</v>
      </c>
      <c r="H256" s="33">
        <v>-14980</v>
      </c>
      <c r="I256" s="26">
        <f>H256*1.06</f>
        <v>-15878.800000000001</v>
      </c>
      <c r="J256" s="26">
        <f>I256*1.06</f>
        <v>-16831.528000000002</v>
      </c>
      <c r="K256" s="26">
        <f>J256*1.08</f>
        <v>-18178.050240000004</v>
      </c>
      <c r="L256" s="26">
        <f>K256*1.08</f>
        <v>-19632.294259200007</v>
      </c>
      <c r="M256" s="26">
        <f>L256*1.09</f>
        <v>-21399.20074252801</v>
      </c>
      <c r="N256" s="8"/>
      <c r="O256" s="8"/>
      <c r="P256" s="8"/>
      <c r="Q256" s="8"/>
    </row>
    <row r="257" spans="1:17" ht="12" x14ac:dyDescent="0.15">
      <c r="A257" s="34" t="s">
        <v>62</v>
      </c>
      <c r="B257" s="54">
        <f>B255+B256</f>
        <v>86893</v>
      </c>
      <c r="C257" s="54">
        <f t="shared" ref="C257:M257" si="165">C255+C256</f>
        <v>97974</v>
      </c>
      <c r="D257" s="54">
        <f t="shared" si="165"/>
        <v>138024</v>
      </c>
      <c r="E257" s="54">
        <f t="shared" si="165"/>
        <v>101583</v>
      </c>
      <c r="F257" s="54">
        <f t="shared" si="165"/>
        <v>126704.5</v>
      </c>
      <c r="G257" s="54">
        <f t="shared" si="165"/>
        <v>137628</v>
      </c>
      <c r="H257" s="54">
        <f t="shared" si="165"/>
        <v>138333.15711626227</v>
      </c>
      <c r="I257" s="54">
        <f t="shared" si="165"/>
        <v>121841.45279194169</v>
      </c>
      <c r="J257" s="54">
        <f t="shared" si="165"/>
        <v>132965.56044603264</v>
      </c>
      <c r="K257" s="54">
        <f t="shared" si="165"/>
        <v>145743.7962642308</v>
      </c>
      <c r="L257" s="54">
        <f t="shared" si="165"/>
        <v>161023.02162570288</v>
      </c>
      <c r="M257" s="54">
        <f t="shared" si="165"/>
        <v>177357.15160715938</v>
      </c>
      <c r="N257" s="55"/>
      <c r="O257" s="9">
        <f>(H257/C257)^(1/5)-1</f>
        <v>7.1428242054432101E-2</v>
      </c>
      <c r="P257" s="9">
        <f>(M257/H257)^(1/5)-1</f>
        <v>5.0955877434507579E-2</v>
      </c>
      <c r="Q257" s="9">
        <f>(M257/I257)^(1/4)-1</f>
        <v>9.84072964366971E-2</v>
      </c>
    </row>
    <row r="258" spans="1:17" ht="12" x14ac:dyDescent="0.15">
      <c r="A258" s="34" t="s">
        <v>63</v>
      </c>
      <c r="B258" s="54">
        <f t="shared" ref="B258:M258" si="166">B257/B263</f>
        <v>135.92269458338058</v>
      </c>
      <c r="C258" s="54">
        <f t="shared" si="166"/>
        <v>153.23293912300909</v>
      </c>
      <c r="D258" s="54">
        <f t="shared" si="166"/>
        <v>215.89093960046472</v>
      </c>
      <c r="E258" s="54">
        <f t="shared" si="166"/>
        <v>158.89099301748047</v>
      </c>
      <c r="F258" s="54">
        <f t="shared" si="166"/>
        <v>198.19633661083475</v>
      </c>
      <c r="G258" s="54">
        <f t="shared" si="166"/>
        <v>215.27306627020266</v>
      </c>
      <c r="H258" s="54">
        <f>H257/H263</f>
        <v>216.37604919969399</v>
      </c>
      <c r="I258" s="54">
        <f t="shared" si="166"/>
        <v>190.58028265569092</v>
      </c>
      <c r="J258" s="54">
        <f t="shared" si="166"/>
        <v>207.98023589352039</v>
      </c>
      <c r="K258" s="54">
        <f t="shared" si="166"/>
        <v>227.96752050208295</v>
      </c>
      <c r="L258" s="54">
        <f t="shared" si="166"/>
        <v>251.86676842981234</v>
      </c>
      <c r="M258" s="54">
        <f t="shared" si="166"/>
        <v>277.4160625121516</v>
      </c>
      <c r="N258" s="55"/>
      <c r="O258" s="55"/>
      <c r="P258" s="55"/>
      <c r="Q258" s="55"/>
    </row>
    <row r="259" spans="1:17" ht="12" x14ac:dyDescent="0.15">
      <c r="A259" s="32" t="s">
        <v>43</v>
      </c>
      <c r="B259" s="8">
        <v>97682.36599999998</v>
      </c>
      <c r="C259" s="8">
        <v>127684.08615</v>
      </c>
      <c r="D259" s="8">
        <v>235718.31636</v>
      </c>
      <c r="E259" s="8">
        <v>126010.97721</v>
      </c>
      <c r="F259" s="8">
        <v>167685.18994000001</v>
      </c>
      <c r="G259" s="8">
        <v>176387.90517499999</v>
      </c>
      <c r="H259" s="45">
        <v>144102.33355000001</v>
      </c>
      <c r="I259" s="33">
        <f>I257</f>
        <v>121841.45279194169</v>
      </c>
      <c r="J259" s="33">
        <f t="shared" ref="J259:M259" si="167">J257</f>
        <v>132965.56044603264</v>
      </c>
      <c r="K259" s="33">
        <f t="shared" si="167"/>
        <v>145743.7962642308</v>
      </c>
      <c r="L259" s="33">
        <f t="shared" si="167"/>
        <v>161023.02162570288</v>
      </c>
      <c r="M259" s="33">
        <f t="shared" si="167"/>
        <v>177357.15160715938</v>
      </c>
      <c r="N259" s="33"/>
      <c r="O259" s="33"/>
      <c r="P259" s="33"/>
      <c r="Q259" s="33"/>
    </row>
    <row r="260" spans="1:17" ht="12" x14ac:dyDescent="0.15">
      <c r="A260" s="32" t="s">
        <v>64</v>
      </c>
      <c r="B260" s="8">
        <f>B259/B263</f>
        <v>152.79999999999995</v>
      </c>
      <c r="C260" s="8">
        <f t="shared" ref="C260:H260" si="168">C259/C263</f>
        <v>199.7</v>
      </c>
      <c r="D260" s="8">
        <f t="shared" si="168"/>
        <v>368.7</v>
      </c>
      <c r="E260" s="8">
        <f t="shared" si="168"/>
        <v>197.1</v>
      </c>
      <c r="F260" s="8">
        <f t="shared" si="168"/>
        <v>262.3</v>
      </c>
      <c r="G260" s="8">
        <f t="shared" si="168"/>
        <v>275.89999999999998</v>
      </c>
      <c r="H260" s="8">
        <f t="shared" si="168"/>
        <v>225.4</v>
      </c>
      <c r="I260" s="33">
        <f>I259/I263</f>
        <v>190.58028265569092</v>
      </c>
      <c r="J260" s="33">
        <f t="shared" ref="J260:M260" si="169">J259/J263</f>
        <v>207.98023589352039</v>
      </c>
      <c r="K260" s="33">
        <f t="shared" si="169"/>
        <v>227.96752050208295</v>
      </c>
      <c r="L260" s="33">
        <f t="shared" si="169"/>
        <v>251.86676842981234</v>
      </c>
      <c r="M260" s="33">
        <f t="shared" si="169"/>
        <v>277.4160625121516</v>
      </c>
      <c r="N260" s="33"/>
      <c r="O260" s="33"/>
      <c r="P260" s="33"/>
      <c r="Q260" s="33"/>
    </row>
    <row r="261" spans="1:17" ht="12" x14ac:dyDescent="0.15">
      <c r="A261" s="32" t="s">
        <v>65</v>
      </c>
      <c r="B261" s="12">
        <f t="shared" ref="B261:M261" si="170">(B259-B257)/B257</f>
        <v>0.12416841402644609</v>
      </c>
      <c r="C261" s="12">
        <f t="shared" si="170"/>
        <v>0.30324459703594836</v>
      </c>
      <c r="D261" s="12">
        <f t="shared" si="170"/>
        <v>0.70780673187271781</v>
      </c>
      <c r="E261" s="12">
        <f t="shared" si="170"/>
        <v>0.24047308319305394</v>
      </c>
      <c r="F261" s="12">
        <f t="shared" si="170"/>
        <v>0.32343515770947373</v>
      </c>
      <c r="G261" s="12">
        <f t="shared" si="170"/>
        <v>0.28162804934315688</v>
      </c>
      <c r="H261" s="12">
        <f t="shared" si="170"/>
        <v>4.1704943008631166E-2</v>
      </c>
      <c r="I261" s="12">
        <f t="shared" si="170"/>
        <v>0</v>
      </c>
      <c r="J261" s="12">
        <f t="shared" si="170"/>
        <v>0</v>
      </c>
      <c r="K261" s="12">
        <f t="shared" si="170"/>
        <v>0</v>
      </c>
      <c r="L261" s="12">
        <f t="shared" si="170"/>
        <v>0</v>
      </c>
      <c r="M261" s="12">
        <f t="shared" si="170"/>
        <v>0</v>
      </c>
      <c r="N261" s="12"/>
      <c r="O261" s="12"/>
      <c r="P261" s="12"/>
      <c r="Q261" s="12"/>
    </row>
    <row r="262" spans="1:17" x14ac:dyDescent="0.15">
      <c r="B262" s="38"/>
      <c r="C262" s="38"/>
      <c r="D262" s="38"/>
      <c r="E262" s="38"/>
      <c r="F262" s="38"/>
      <c r="G262" s="38"/>
    </row>
    <row r="263" spans="1:17" ht="12" x14ac:dyDescent="0.15">
      <c r="A263" s="28" t="s">
        <v>66</v>
      </c>
      <c r="B263" s="7">
        <v>639.28250000000003</v>
      </c>
      <c r="C263" s="7">
        <v>639.37950000000001</v>
      </c>
      <c r="D263" s="7">
        <v>639.32280000000003</v>
      </c>
      <c r="E263" s="7">
        <v>639.32510000000002</v>
      </c>
      <c r="F263" s="7">
        <v>639.28779999999995</v>
      </c>
      <c r="G263" s="7">
        <v>639.31825000000003</v>
      </c>
      <c r="H263" s="7">
        <v>639.31825000000003</v>
      </c>
      <c r="I263" s="7">
        <v>639.31825000000003</v>
      </c>
      <c r="J263" s="7">
        <v>639.31825000000003</v>
      </c>
      <c r="K263" s="7">
        <v>639.31825000000003</v>
      </c>
      <c r="L263" s="7">
        <v>639.31825000000003</v>
      </c>
      <c r="M263" s="7">
        <v>639.31825000000003</v>
      </c>
      <c r="N263" s="7"/>
      <c r="O263" s="7"/>
      <c r="P263" s="7"/>
      <c r="Q263" s="7"/>
    </row>
    <row r="264" spans="1:17" x14ac:dyDescent="0.15">
      <c r="A264" s="56"/>
      <c r="B264" s="57"/>
      <c r="C264" s="57"/>
      <c r="D264" s="57"/>
      <c r="E264" s="57"/>
      <c r="F264" s="57"/>
      <c r="G264" s="57"/>
    </row>
    <row r="265" spans="1:17" ht="12" x14ac:dyDescent="0.15">
      <c r="A265" s="32" t="s">
        <v>39</v>
      </c>
      <c r="B265" s="26">
        <f t="shared" ref="B265:M265" si="171">B99</f>
        <v>1813</v>
      </c>
      <c r="C265" s="26">
        <f t="shared" si="171"/>
        <v>1876</v>
      </c>
      <c r="D265" s="26">
        <f t="shared" si="171"/>
        <v>2355</v>
      </c>
      <c r="E265" s="26">
        <f t="shared" si="171"/>
        <v>2942</v>
      </c>
      <c r="F265" s="26">
        <f t="shared" si="171"/>
        <v>3599</v>
      </c>
      <c r="G265" s="26">
        <f t="shared" si="171"/>
        <v>3415</v>
      </c>
      <c r="H265" s="26">
        <f t="shared" si="171"/>
        <v>3648</v>
      </c>
      <c r="I265" s="26">
        <f t="shared" si="171"/>
        <v>3768.9095000000002</v>
      </c>
      <c r="J265" s="26">
        <f t="shared" si="171"/>
        <v>4201.2986585300005</v>
      </c>
      <c r="K265" s="26">
        <f t="shared" si="171"/>
        <v>4677.2059155282168</v>
      </c>
      <c r="L265" s="26">
        <f t="shared" si="171"/>
        <v>5225.0032796279966</v>
      </c>
      <c r="M265" s="26">
        <f t="shared" si="171"/>
        <v>5823.6744338794979</v>
      </c>
      <c r="N265" s="33"/>
      <c r="O265" s="33"/>
      <c r="P265" s="33"/>
      <c r="Q265" s="33"/>
    </row>
    <row r="266" spans="1:17" ht="12" x14ac:dyDescent="0.15">
      <c r="A266" s="32" t="s">
        <v>40</v>
      </c>
      <c r="B266" s="18">
        <v>5327</v>
      </c>
      <c r="C266" s="18">
        <v>5320</v>
      </c>
      <c r="D266" s="18">
        <v>4377</v>
      </c>
      <c r="E266" s="18">
        <v>4162</v>
      </c>
      <c r="F266" s="18">
        <v>5894</v>
      </c>
      <c r="G266" s="18">
        <v>6170</v>
      </c>
      <c r="H266" s="18">
        <v>4917</v>
      </c>
      <c r="I266" s="26">
        <f>(SUM(I115*I113)+(I129*I127)+(I141*I143)+(I155*I157)+(I169*I171)+(I183*I185)+(I197*I199)+(I213*I211)+(I225*I227)+(I239*I241))+(I265*0.6)</f>
        <v>5764.6276214231539</v>
      </c>
      <c r="J266" s="26">
        <f t="shared" ref="J266:M266" si="172">(SUM(J115*J113)+(J129*J127)+(J141*J143)+(J155*J157)+(J169*J171)+(J183*J185)+(J197*J199)+(J213*J211)+(J225*J227)+(J239*J241))+(J265*0.6)</f>
        <v>6324.7322781407202</v>
      </c>
      <c r="K266" s="26">
        <f t="shared" si="172"/>
        <v>6955.0051881868076</v>
      </c>
      <c r="L266" s="26">
        <f t="shared" si="172"/>
        <v>7673.9596937335455</v>
      </c>
      <c r="M266" s="26">
        <f t="shared" si="172"/>
        <v>8434.52584022269</v>
      </c>
      <c r="N266" s="38"/>
      <c r="O266" s="38"/>
      <c r="P266" s="38"/>
      <c r="Q266" s="38"/>
    </row>
    <row r="267" spans="1:17" ht="12" x14ac:dyDescent="0.15">
      <c r="A267" s="25" t="s">
        <v>46</v>
      </c>
      <c r="B267" s="26">
        <v>1598</v>
      </c>
      <c r="C267" s="26">
        <v>799</v>
      </c>
      <c r="D267" s="26">
        <v>1918</v>
      </c>
      <c r="E267" s="26">
        <v>2110</v>
      </c>
      <c r="F267" s="26">
        <v>2366</v>
      </c>
      <c r="G267" s="26">
        <v>2621</v>
      </c>
      <c r="H267" s="26">
        <v>2941</v>
      </c>
      <c r="I267" s="26">
        <f>(SUM(I120*I115)+(I134*I129)+(I148*I143)+(I162*I157)+(I176*I171)+(I190*I185)+(I204*I199)+(I218*I213)+(I232*I227)+(I246*I241))+(I99*0.65*0.5)</f>
        <v>2799.4301265593222</v>
      </c>
      <c r="J267" s="26">
        <f t="shared" ref="J267:M267" si="173">(SUM(J120*J115)+(J134*J129)+(J148*J143)+(J162*J157)+(J176*J171)+(J190*J185)+(J204*J199)+(J218*J213)+(J232*J227)+(J246*J241))+(J99*0.65*0.5)</f>
        <v>3074.6221382241156</v>
      </c>
      <c r="K267" s="26">
        <f t="shared" si="173"/>
        <v>3387.6497179884827</v>
      </c>
      <c r="L267" s="26">
        <f t="shared" si="173"/>
        <v>3738.8344097002264</v>
      </c>
      <c r="M267" s="26">
        <f t="shared" si="173"/>
        <v>4111.7959169053975</v>
      </c>
      <c r="N267" s="8"/>
      <c r="O267" s="8"/>
      <c r="P267" s="8"/>
      <c r="Q267" s="8"/>
    </row>
    <row r="268" spans="1:17" ht="12" x14ac:dyDescent="0.15">
      <c r="A268" s="25" t="s">
        <v>67</v>
      </c>
      <c r="B268" s="58">
        <v>0.29998122770790314</v>
      </c>
      <c r="C268" s="58">
        <v>0.15018796992481204</v>
      </c>
      <c r="D268" s="58">
        <v>0.43819968014621885</v>
      </c>
      <c r="E268" s="58">
        <v>0.5069678039404133</v>
      </c>
      <c r="F268" s="58">
        <v>0.40142517814726841</v>
      </c>
      <c r="G268" s="58">
        <v>0.42479740680713129</v>
      </c>
      <c r="H268" s="12">
        <f>H267/H266</f>
        <v>0.59812894041081965</v>
      </c>
      <c r="I268" s="12">
        <f t="shared" ref="I268:M268" si="174">I267/I266</f>
        <v>0.48562202286159245</v>
      </c>
      <c r="J268" s="12">
        <f t="shared" si="174"/>
        <v>0.4861268434792882</v>
      </c>
      <c r="K268" s="12">
        <f t="shared" si="174"/>
        <v>0.48708083262719376</v>
      </c>
      <c r="L268" s="12">
        <f t="shared" si="174"/>
        <v>0.48721058735209533</v>
      </c>
      <c r="M268" s="12">
        <f t="shared" si="174"/>
        <v>0.48749579938412246</v>
      </c>
      <c r="N268" s="12"/>
      <c r="O268" s="12"/>
      <c r="P268" s="12"/>
      <c r="Q268" s="12"/>
    </row>
    <row r="269" spans="1:17" ht="12" x14ac:dyDescent="0.15">
      <c r="A269" s="25" t="s">
        <v>68</v>
      </c>
      <c r="B269" s="26">
        <v>0</v>
      </c>
      <c r="C269" s="26">
        <v>0</v>
      </c>
      <c r="D269" s="26">
        <v>0</v>
      </c>
      <c r="E269" s="26">
        <v>0</v>
      </c>
      <c r="F269" s="26">
        <v>0</v>
      </c>
      <c r="G269" s="26">
        <v>0</v>
      </c>
      <c r="H269" s="26">
        <v>0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</row>
    <row r="270" spans="1:17" ht="12" x14ac:dyDescent="0.15">
      <c r="A270" s="25" t="s">
        <v>69</v>
      </c>
      <c r="B270" s="26">
        <v>0</v>
      </c>
      <c r="C270" s="26">
        <v>0</v>
      </c>
      <c r="D270" s="26">
        <v>81</v>
      </c>
      <c r="E270" s="26">
        <v>0</v>
      </c>
      <c r="F270" s="26">
        <v>25</v>
      </c>
      <c r="G270" s="26">
        <v>31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</row>
    <row r="271" spans="1:17" ht="12" x14ac:dyDescent="0.15">
      <c r="A271" s="56" t="s">
        <v>70</v>
      </c>
      <c r="B271" s="52">
        <f t="shared" ref="B271:M271" si="175">B267+B269+B270</f>
        <v>1598</v>
      </c>
      <c r="C271" s="52">
        <f t="shared" si="175"/>
        <v>799</v>
      </c>
      <c r="D271" s="52">
        <f t="shared" si="175"/>
        <v>1999</v>
      </c>
      <c r="E271" s="52">
        <f t="shared" si="175"/>
        <v>2110</v>
      </c>
      <c r="F271" s="52">
        <f t="shared" si="175"/>
        <v>2391</v>
      </c>
      <c r="G271" s="52">
        <f t="shared" si="175"/>
        <v>2652</v>
      </c>
      <c r="H271" s="52">
        <f t="shared" si="175"/>
        <v>2941</v>
      </c>
      <c r="I271" s="52">
        <f t="shared" si="175"/>
        <v>2799.4301265593222</v>
      </c>
      <c r="J271" s="52">
        <f t="shared" si="175"/>
        <v>3074.6221382241156</v>
      </c>
      <c r="K271" s="52">
        <f t="shared" si="175"/>
        <v>3387.6497179884827</v>
      </c>
      <c r="L271" s="52">
        <f t="shared" si="175"/>
        <v>3738.8344097002264</v>
      </c>
      <c r="M271" s="52">
        <f t="shared" si="175"/>
        <v>4111.7959169053975</v>
      </c>
      <c r="N271" s="8"/>
      <c r="O271" s="8"/>
      <c r="P271" s="8"/>
      <c r="Q271" s="8"/>
    </row>
    <row r="272" spans="1:17" ht="24" x14ac:dyDescent="0.15">
      <c r="A272" s="25" t="s">
        <v>71</v>
      </c>
      <c r="B272" s="58">
        <f>B271/B257</f>
        <v>1.8390434212192008E-2</v>
      </c>
      <c r="C272" s="58">
        <f t="shared" ref="C272:M272" si="176">C271/C257</f>
        <v>8.1552248555739285E-3</v>
      </c>
      <c r="D272" s="58">
        <f t="shared" si="176"/>
        <v>1.4482988465774069E-2</v>
      </c>
      <c r="E272" s="58">
        <f t="shared" si="176"/>
        <v>2.0771192030162526E-2</v>
      </c>
      <c r="F272" s="58">
        <f t="shared" si="176"/>
        <v>1.8870679415490373E-2</v>
      </c>
      <c r="G272" s="58">
        <f t="shared" si="176"/>
        <v>1.9269334728398292E-2</v>
      </c>
      <c r="H272" s="58">
        <f t="shared" si="176"/>
        <v>2.126026804642529E-2</v>
      </c>
      <c r="I272" s="58">
        <f t="shared" si="176"/>
        <v>2.2976007445837596E-2</v>
      </c>
      <c r="J272" s="58">
        <f t="shared" si="176"/>
        <v>2.3123447364191925E-2</v>
      </c>
      <c r="K272" s="58">
        <f t="shared" si="176"/>
        <v>2.3243869069025324E-2</v>
      </c>
      <c r="L272" s="58">
        <f t="shared" si="176"/>
        <v>2.321925381819704E-2</v>
      </c>
      <c r="M272" s="58">
        <f t="shared" si="176"/>
        <v>2.3183705193985629E-2</v>
      </c>
    </row>
    <row r="273" spans="1:17" x14ac:dyDescent="0.15">
      <c r="B273" s="7"/>
      <c r="C273" s="7"/>
      <c r="D273" s="7"/>
      <c r="E273" s="7"/>
      <c r="F273" s="7"/>
      <c r="G273" s="7"/>
      <c r="I273" s="7"/>
      <c r="J273" s="7"/>
      <c r="K273" s="7"/>
      <c r="L273" s="7"/>
      <c r="M273" s="7"/>
      <c r="N273" s="7"/>
    </row>
    <row r="274" spans="1:17" ht="12" x14ac:dyDescent="0.15">
      <c r="A274" s="5" t="s">
        <v>72</v>
      </c>
      <c r="B274" s="8">
        <f>B259</f>
        <v>97682.36599999998</v>
      </c>
      <c r="C274" s="8">
        <f t="shared" ref="C274:M275" si="177">C259</f>
        <v>127684.08615</v>
      </c>
      <c r="D274" s="8">
        <f t="shared" si="177"/>
        <v>235718.31636</v>
      </c>
      <c r="E274" s="8">
        <f t="shared" si="177"/>
        <v>126010.97721</v>
      </c>
      <c r="F274" s="8">
        <f t="shared" si="177"/>
        <v>167685.18994000001</v>
      </c>
      <c r="G274" s="8">
        <f t="shared" si="177"/>
        <v>176387.90517499999</v>
      </c>
      <c r="H274" s="8">
        <f t="shared" si="177"/>
        <v>144102.33355000001</v>
      </c>
      <c r="I274" s="8">
        <f t="shared" si="177"/>
        <v>121841.45279194169</v>
      </c>
      <c r="J274" s="8">
        <f t="shared" si="177"/>
        <v>132965.56044603264</v>
      </c>
      <c r="K274" s="8">
        <f t="shared" si="177"/>
        <v>145743.7962642308</v>
      </c>
      <c r="L274" s="8">
        <f t="shared" si="177"/>
        <v>161023.02162570288</v>
      </c>
      <c r="M274" s="8">
        <f t="shared" si="177"/>
        <v>177357.15160715938</v>
      </c>
      <c r="N274" s="8"/>
      <c r="O274" s="8"/>
      <c r="P274" s="8"/>
      <c r="Q274" s="8"/>
    </row>
    <row r="275" spans="1:17" ht="12" x14ac:dyDescent="0.15">
      <c r="A275" s="5" t="s">
        <v>73</v>
      </c>
      <c r="B275" s="8">
        <f>B260</f>
        <v>152.79999999999995</v>
      </c>
      <c r="C275" s="8">
        <f t="shared" si="177"/>
        <v>199.7</v>
      </c>
      <c r="D275" s="8">
        <f t="shared" si="177"/>
        <v>368.7</v>
      </c>
      <c r="E275" s="8">
        <f t="shared" si="177"/>
        <v>197.1</v>
      </c>
      <c r="F275" s="8">
        <f t="shared" si="177"/>
        <v>262.3</v>
      </c>
      <c r="G275" s="8">
        <f t="shared" si="177"/>
        <v>275.89999999999998</v>
      </c>
      <c r="H275" s="8">
        <f t="shared" si="177"/>
        <v>225.4</v>
      </c>
      <c r="I275" s="8">
        <f t="shared" si="177"/>
        <v>190.58028265569092</v>
      </c>
      <c r="J275" s="8">
        <f t="shared" si="177"/>
        <v>207.98023589352039</v>
      </c>
      <c r="K275" s="8">
        <f t="shared" si="177"/>
        <v>227.96752050208295</v>
      </c>
      <c r="L275" s="8">
        <f t="shared" si="177"/>
        <v>251.86676842981234</v>
      </c>
      <c r="M275" s="8">
        <f t="shared" si="177"/>
        <v>277.4160625121516</v>
      </c>
      <c r="N275" s="8"/>
      <c r="O275" s="8"/>
      <c r="P275" s="8"/>
      <c r="Q275" s="8"/>
    </row>
    <row r="277" spans="1:17" x14ac:dyDescent="0.15">
      <c r="A277" s="59" t="s">
        <v>74</v>
      </c>
    </row>
    <row r="278" spans="1:17" x14ac:dyDescent="0.15">
      <c r="A278" s="60" t="s">
        <v>75</v>
      </c>
      <c r="B278" s="61">
        <v>46197</v>
      </c>
      <c r="C278" s="62"/>
    </row>
    <row r="279" spans="1:17" x14ac:dyDescent="0.15">
      <c r="A279" s="25" t="s">
        <v>76</v>
      </c>
      <c r="B279" s="49">
        <v>120064</v>
      </c>
      <c r="C279" s="63"/>
    </row>
    <row r="280" spans="1:17" x14ac:dyDescent="0.15">
      <c r="A280" s="25" t="s">
        <v>77</v>
      </c>
      <c r="B280" s="53">
        <f>M257</f>
        <v>177357.15160715938</v>
      </c>
      <c r="C280" s="49"/>
    </row>
    <row r="281" spans="1:17" x14ac:dyDescent="0.15">
      <c r="A281" s="25" t="s">
        <v>78</v>
      </c>
      <c r="B281" s="64">
        <f>(M266/H266)^(1/5)-1</f>
        <v>0.11396640340122577</v>
      </c>
      <c r="C281" s="62"/>
    </row>
    <row r="282" spans="1:17" x14ac:dyDescent="0.15">
      <c r="A282" s="25" t="s">
        <v>79</v>
      </c>
      <c r="B282" s="49">
        <f>SUM(I271:M271)</f>
        <v>17112.332309377543</v>
      </c>
      <c r="C282" s="62"/>
    </row>
    <row r="283" spans="1:17" x14ac:dyDescent="0.15">
      <c r="A283" s="25" t="s">
        <v>80</v>
      </c>
      <c r="B283" s="65">
        <f>B280+B282</f>
        <v>194469.48391653693</v>
      </c>
      <c r="C283" s="62"/>
    </row>
    <row r="284" spans="1:17" ht="24" x14ac:dyDescent="0.15">
      <c r="A284" s="5" t="s">
        <v>81</v>
      </c>
      <c r="B284" s="64">
        <f>B283/B279-1</f>
        <v>0.61971518453938668</v>
      </c>
      <c r="C284" s="62"/>
    </row>
    <row r="285" spans="1:17" x14ac:dyDescent="0.15">
      <c r="A285" s="5" t="s">
        <v>82</v>
      </c>
      <c r="B285" s="64">
        <f>(B283/B279)^(1/4.52)-1</f>
        <v>0.11259213439770921</v>
      </c>
      <c r="C285" s="62"/>
    </row>
  </sheetData>
  <pageMargins left="0.2" right="0.2" top="0.5" bottom="0.5" header="0.5" footer="0.5"/>
  <pageSetup fitToWidth="0" fitToHeight="0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Valuation 2026 Model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dede.eyesan</dc:creator>
  <cp:lastModifiedBy>dede.eyesan</cp:lastModifiedBy>
  <dcterms:created xsi:type="dcterms:W3CDTF">2026-06-25T17:05:31Z</dcterms:created>
  <dcterms:modified xsi:type="dcterms:W3CDTF">2026-06-25T17:07:04Z</dcterms:modified>
</cp:coreProperties>
</file>