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ngaip-my.sharepoint.com/personal/dede_eyesan_jengaip_com/Documents/Jenga Investment Partners/Front Office/Global Outperformers/2025 Articles/Alphabet/"/>
    </mc:Choice>
  </mc:AlternateContent>
  <xr:revisionPtr revIDLastSave="48" documentId="8_{2255CB0A-DE6C-EE49-ABDC-F0AA371470E5}" xr6:coauthVersionLast="47" xr6:coauthVersionMax="47" xr10:uidLastSave="{9E0CEA0E-2627-B941-80CF-EC9954579EF3}"/>
  <bookViews>
    <workbookView xWindow="10900" yWindow="500" windowWidth="29400" windowHeight="16660" xr2:uid="{0960A27F-B49C-A349-B670-9B8398E185E8}"/>
  </bookViews>
  <sheets>
    <sheet name="Alphabet valuation model " sheetId="1" r:id="rId1"/>
  </sheets>
  <definedNames>
    <definedName name="_xlnm.Print_Titles" localSheetId="0">'Alphabet valuation model '!#REF!</definedName>
  </definedNames>
  <calcPr calcId="191029" iterateDelta="9.999999999999445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  <c r="B86" i="1"/>
  <c r="G89" i="1" l="1"/>
  <c r="F89" i="1"/>
  <c r="E89" i="1"/>
  <c r="D89" i="1"/>
  <c r="C89" i="1"/>
  <c r="G83" i="1"/>
  <c r="F83" i="1"/>
  <c r="E83" i="1"/>
  <c r="D83" i="1"/>
  <c r="C83" i="1"/>
  <c r="B83" i="1"/>
  <c r="G82" i="1"/>
  <c r="F82" i="1"/>
  <c r="E82" i="1"/>
  <c r="D82" i="1"/>
  <c r="C82" i="1"/>
  <c r="B82" i="1"/>
  <c r="G80" i="1"/>
  <c r="G78" i="1"/>
  <c r="F78" i="1"/>
  <c r="E78" i="1"/>
  <c r="D78" i="1"/>
  <c r="C78" i="1"/>
  <c r="B78" i="1"/>
  <c r="G76" i="1"/>
  <c r="F76" i="1"/>
  <c r="E76" i="1"/>
  <c r="D76" i="1"/>
  <c r="C76" i="1"/>
  <c r="H75" i="1"/>
  <c r="I75" i="1" s="1"/>
  <c r="J75" i="1" s="1"/>
  <c r="K75" i="1" s="1"/>
  <c r="L75" i="1" s="1"/>
  <c r="L72" i="1"/>
  <c r="K72" i="1"/>
  <c r="J72" i="1"/>
  <c r="I72" i="1"/>
  <c r="H72" i="1"/>
  <c r="G72" i="1"/>
  <c r="F72" i="1"/>
  <c r="E72" i="1"/>
  <c r="D72" i="1"/>
  <c r="C72" i="1"/>
  <c r="B72" i="1"/>
  <c r="G65" i="1"/>
  <c r="F65" i="1"/>
  <c r="E65" i="1"/>
  <c r="D65" i="1"/>
  <c r="C65" i="1"/>
  <c r="H64" i="1"/>
  <c r="I64" i="1" s="1"/>
  <c r="J64" i="1" s="1"/>
  <c r="K64" i="1" s="1"/>
  <c r="L64" i="1" s="1"/>
  <c r="G61" i="1"/>
  <c r="F61" i="1"/>
  <c r="E61" i="1"/>
  <c r="D61" i="1"/>
  <c r="C61" i="1"/>
  <c r="H60" i="1"/>
  <c r="I60" i="1" s="1"/>
  <c r="J60" i="1" s="1"/>
  <c r="K60" i="1" s="1"/>
  <c r="L60" i="1" s="1"/>
  <c r="G47" i="1"/>
  <c r="F47" i="1"/>
  <c r="E47" i="1"/>
  <c r="D47" i="1"/>
  <c r="C47" i="1"/>
  <c r="B47" i="1"/>
  <c r="L33" i="1"/>
  <c r="L34" i="1" s="1"/>
  <c r="K33" i="1"/>
  <c r="K34" i="1" s="1"/>
  <c r="J33" i="1"/>
  <c r="J34" i="1" s="1"/>
  <c r="I33" i="1"/>
  <c r="I34" i="1" s="1"/>
  <c r="H33" i="1"/>
  <c r="H34" i="1" s="1"/>
  <c r="G26" i="1"/>
  <c r="F26" i="1"/>
  <c r="E26" i="1"/>
  <c r="D26" i="1"/>
  <c r="C26" i="1"/>
  <c r="I25" i="1"/>
  <c r="H25" i="1"/>
  <c r="G23" i="1"/>
  <c r="F23" i="1"/>
  <c r="E23" i="1"/>
  <c r="D23" i="1"/>
  <c r="C23" i="1"/>
  <c r="H22" i="1"/>
  <c r="I22" i="1" s="1"/>
  <c r="J22" i="1" s="1"/>
  <c r="K22" i="1" s="1"/>
  <c r="L22" i="1" s="1"/>
  <c r="G18" i="1"/>
  <c r="F18" i="1"/>
  <c r="E18" i="1"/>
  <c r="D18" i="1"/>
  <c r="C18" i="1"/>
  <c r="H17" i="1"/>
  <c r="I17" i="1" s="1"/>
  <c r="J17" i="1" s="1"/>
  <c r="K17" i="1" s="1"/>
  <c r="L17" i="1" s="1"/>
  <c r="G12" i="1"/>
  <c r="H12" i="1" s="1"/>
  <c r="I12" i="1" s="1"/>
  <c r="J12" i="1" s="1"/>
  <c r="F12" i="1"/>
  <c r="E12" i="1"/>
  <c r="E14" i="1" s="1"/>
  <c r="D12" i="1"/>
  <c r="D14" i="1" s="1"/>
  <c r="C12" i="1"/>
  <c r="C14" i="1" s="1"/>
  <c r="B12" i="1"/>
  <c r="B14" i="1" s="1"/>
  <c r="B30" i="1" s="1"/>
  <c r="G11" i="1"/>
  <c r="F11" i="1"/>
  <c r="E11" i="1"/>
  <c r="D11" i="1"/>
  <c r="C11" i="1"/>
  <c r="H10" i="1"/>
  <c r="I10" i="1" s="1"/>
  <c r="J10" i="1" s="1"/>
  <c r="K10" i="1" s="1"/>
  <c r="L10" i="1" s="1"/>
  <c r="G9" i="1"/>
  <c r="F9" i="1"/>
  <c r="E9" i="1"/>
  <c r="D9" i="1"/>
  <c r="C9" i="1"/>
  <c r="H8" i="1"/>
  <c r="I8" i="1" s="1"/>
  <c r="J8" i="1" s="1"/>
  <c r="K8" i="1" s="1"/>
  <c r="L8" i="1" s="1"/>
  <c r="G7" i="1"/>
  <c r="F7" i="1"/>
  <c r="E7" i="1"/>
  <c r="D7" i="1"/>
  <c r="C7" i="1"/>
  <c r="H6" i="1"/>
  <c r="I6" i="1" s="1"/>
  <c r="J6" i="1" s="1"/>
  <c r="K6" i="1" s="1"/>
  <c r="L6" i="1" s="1"/>
  <c r="G5" i="1"/>
  <c r="F5" i="1"/>
  <c r="E5" i="1"/>
  <c r="D5" i="1"/>
  <c r="C5" i="1"/>
  <c r="G3" i="1"/>
  <c r="F3" i="1"/>
  <c r="E3" i="1"/>
  <c r="D3" i="1"/>
  <c r="C3" i="1"/>
  <c r="H2" i="1"/>
  <c r="I2" i="1" s="1"/>
  <c r="J2" i="1" s="1"/>
  <c r="K2" i="1" s="1"/>
  <c r="L2" i="1" s="1"/>
  <c r="H27" i="1" l="1"/>
  <c r="F13" i="1"/>
  <c r="G13" i="1"/>
  <c r="H14" i="1"/>
  <c r="H20" i="1" s="1"/>
  <c r="H29" i="1" s="1"/>
  <c r="H46" i="1"/>
  <c r="H30" i="1"/>
  <c r="H39" i="1"/>
  <c r="H44" i="1" s="1"/>
  <c r="H48" i="1" s="1"/>
  <c r="E30" i="1"/>
  <c r="E15" i="1"/>
  <c r="K12" i="1"/>
  <c r="J14" i="1"/>
  <c r="I14" i="1"/>
  <c r="C30" i="1"/>
  <c r="C15" i="1"/>
  <c r="D15" i="1"/>
  <c r="D30" i="1"/>
  <c r="I27" i="1"/>
  <c r="J25" i="1"/>
  <c r="C13" i="1"/>
  <c r="D13" i="1"/>
  <c r="F14" i="1"/>
  <c r="E13" i="1"/>
  <c r="G14" i="1"/>
  <c r="H15" i="1" l="1"/>
  <c r="J15" i="1"/>
  <c r="J20" i="1"/>
  <c r="I15" i="1"/>
  <c r="I20" i="1"/>
  <c r="I29" i="1" s="1"/>
  <c r="J27" i="1"/>
  <c r="K25" i="1"/>
  <c r="K14" i="1"/>
  <c r="L12" i="1"/>
  <c r="L14" i="1" s="1"/>
  <c r="G15" i="1"/>
  <c r="G30" i="1"/>
  <c r="F30" i="1"/>
  <c r="F15" i="1"/>
  <c r="H79" i="1"/>
  <c r="H57" i="1"/>
  <c r="H73" i="1" s="1"/>
  <c r="H78" i="1" s="1"/>
  <c r="H81" i="1"/>
  <c r="L20" i="1" l="1"/>
  <c r="L15" i="1"/>
  <c r="H83" i="1"/>
  <c r="H84" i="1" s="1"/>
  <c r="K15" i="1"/>
  <c r="K20" i="1"/>
  <c r="K27" i="1"/>
  <c r="L25" i="1"/>
  <c r="L27" i="1" s="1"/>
  <c r="J29" i="1"/>
  <c r="I30" i="1"/>
  <c r="I39" i="1"/>
  <c r="I44" i="1" s="1"/>
  <c r="I46" i="1"/>
  <c r="J30" i="1" l="1"/>
  <c r="J39" i="1"/>
  <c r="J44" i="1" s="1"/>
  <c r="J46" i="1"/>
  <c r="I48" i="1"/>
  <c r="K29" i="1"/>
  <c r="L29" i="1"/>
  <c r="L30" i="1" l="1"/>
  <c r="L46" i="1"/>
  <c r="L39" i="1"/>
  <c r="L44" i="1" s="1"/>
  <c r="L48" i="1" s="1"/>
  <c r="J48" i="1"/>
  <c r="K30" i="1"/>
  <c r="K39" i="1"/>
  <c r="K44" i="1" s="1"/>
  <c r="K46" i="1"/>
  <c r="I81" i="1"/>
  <c r="I84" i="1" s="1"/>
  <c r="I79" i="1"/>
  <c r="I57" i="1"/>
  <c r="I73" i="1" s="1"/>
  <c r="I78" i="1" s="1"/>
  <c r="K48" i="1" l="1"/>
  <c r="J81" i="1"/>
  <c r="J79" i="1"/>
  <c r="J57" i="1"/>
  <c r="J73" i="1" s="1"/>
  <c r="J78" i="1" s="1"/>
  <c r="L79" i="1"/>
  <c r="L81" i="1"/>
  <c r="L83" i="1" s="1"/>
  <c r="L84" i="1" s="1"/>
  <c r="L57" i="1"/>
  <c r="L73" i="1" s="1"/>
  <c r="L78" i="1" s="1"/>
  <c r="B87" i="1"/>
  <c r="J83" i="1" l="1"/>
  <c r="J84" i="1" s="1"/>
  <c r="K57" i="1"/>
  <c r="K73" i="1" s="1"/>
  <c r="K78" i="1" s="1"/>
  <c r="K79" i="1"/>
  <c r="B88" i="1" s="1"/>
  <c r="B90" i="1" s="1"/>
  <c r="K81" i="1"/>
  <c r="K83" i="1" s="1"/>
  <c r="K84" i="1" s="1"/>
  <c r="B92" i="1" l="1"/>
  <c r="B91" i="1"/>
</calcChain>
</file>

<file path=xl/sharedStrings.xml><?xml version="1.0" encoding="utf-8"?>
<sst xmlns="http://schemas.openxmlformats.org/spreadsheetml/2006/main" count="75" uniqueCount="64">
  <si>
    <t>For the Fiscal Period Ending
(Alphabet)</t>
  </si>
  <si>
    <t>2025E</t>
  </si>
  <si>
    <t>2026E</t>
  </si>
  <si>
    <t>2027E</t>
  </si>
  <si>
    <t>2028E</t>
  </si>
  <si>
    <t>2029E</t>
  </si>
  <si>
    <t>Google search &amp; other</t>
  </si>
  <si>
    <t>YouTube ads</t>
  </si>
  <si>
    <t>Google Network</t>
  </si>
  <si>
    <t>Google Subscriptions, platforms and devices</t>
  </si>
  <si>
    <t>Google Cloud</t>
  </si>
  <si>
    <t>Other Bets and Hedging Gains</t>
  </si>
  <si>
    <t>Revenue</t>
  </si>
  <si>
    <t>COGS</t>
  </si>
  <si>
    <t>Gross Profit</t>
  </si>
  <si>
    <t>Selling General &amp; Admin Exp.</t>
  </si>
  <si>
    <t>R &amp; D Exp</t>
  </si>
  <si>
    <t>Other Operating Exp., Total</t>
  </si>
  <si>
    <t>Operating Income</t>
  </si>
  <si>
    <t>EBIT margin</t>
  </si>
  <si>
    <t>Interest Expense</t>
  </si>
  <si>
    <t>Interest and Invest. Income</t>
  </si>
  <si>
    <t xml:space="preserve">  Net Interest Exp.</t>
  </si>
  <si>
    <t>Income/(Loss) from Affiliates</t>
  </si>
  <si>
    <t>-</t>
  </si>
  <si>
    <t>Currency Exchange Gains (Loss)</t>
  </si>
  <si>
    <t>Other Non-Operating Inc. (Exp.)</t>
  </si>
  <si>
    <t xml:space="preserve">  EBT Excl. Unusual Items</t>
  </si>
  <si>
    <t>Restructuring Charges</t>
  </si>
  <si>
    <t>Gain (Loss) On Sale Of Invest.</t>
  </si>
  <si>
    <t>Legal Settlements</t>
  </si>
  <si>
    <t xml:space="preserve">  EBT Incl. Unusual Items</t>
  </si>
  <si>
    <t>Income Tax Expense</t>
  </si>
  <si>
    <t>IT/EBIT</t>
  </si>
  <si>
    <t>Net income</t>
  </si>
  <si>
    <t>Exit multiple</t>
  </si>
  <si>
    <t xml:space="preserve"> </t>
  </si>
  <si>
    <t>Net Income</t>
  </si>
  <si>
    <t>Depreciation &amp; Amort.</t>
  </si>
  <si>
    <t>Amort. of Goodwill and Intangibles</t>
  </si>
  <si>
    <t>(Gain) Loss On Sale Of Invest.</t>
  </si>
  <si>
    <t>Stock-Based Compensation</t>
  </si>
  <si>
    <t>Other Operating Activities</t>
  </si>
  <si>
    <t>Change in Acc. Receivable</t>
  </si>
  <si>
    <t>Change in Acc. Payable</t>
  </si>
  <si>
    <t>Change in Unearned Rev.</t>
  </si>
  <si>
    <t>Change in Inc. Taxes</t>
  </si>
  <si>
    <t>Change in Other Net Operating Assets</t>
  </si>
  <si>
    <t>OCF</t>
  </si>
  <si>
    <t>Cash from Ops.</t>
  </si>
  <si>
    <t>Capital Expenditure</t>
  </si>
  <si>
    <t>Free cash flow</t>
  </si>
  <si>
    <t xml:space="preserve">Dividend </t>
  </si>
  <si>
    <t xml:space="preserve">Dividend/Net income </t>
  </si>
  <si>
    <t xml:space="preserve">Repurchases </t>
  </si>
  <si>
    <t>Repurchases/net income</t>
  </si>
  <si>
    <t>Net shareholder return</t>
  </si>
  <si>
    <t>Dividends + Buyback - SBC</t>
  </si>
  <si>
    <t>Current MC</t>
  </si>
  <si>
    <t>Total shareholder return + market capitalisation</t>
  </si>
  <si>
    <t>IRR</t>
  </si>
  <si>
    <t>2029E Exit Market Capitalisation ($ 000)</t>
  </si>
  <si>
    <t>Current Market Capitalisation ($ 000)</t>
  </si>
  <si>
    <t>Total Return (including dividends and share buybacks)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</si>
</sst>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#,##0.0"/>
    <numFmt numFmtId="165" formatCode="_(* #,##0.0_);_(* \(#,##0.0\)_)\ ;_(* 0_)"/>
    <numFmt numFmtId="166" formatCode="0.0%"/>
    <numFmt numFmtId="167" formatCode="#,##0.0\x"/>
    <numFmt numFmtId="168" formatCode="_(* #,##0.0_);_(* \(#,##0.0\);_(* &quot;-&quot;?_);_(@_)"/>
    <numFmt numFmtId="169" formatCode="_(* #,##0.0#_);_(* \(#,##0.0#\)_)\ ;_(* 0_)"/>
    <numFmt numFmtId="170" formatCode="#,##0.0_);\(#,##0.0\)"/>
    <numFmt numFmtId="171" formatCode="0.000%"/>
    <numFmt numFmtId="172" formatCode="_(\$#,##0.0#_);_(\(\$#,##0.0#\)_);_(\$&quot; - &quot;_)"/>
    <numFmt numFmtId="173" formatCode="_(* #,##0.0##_);_(* \(#,##0.0##\)_)\ ;_(* 0_)"/>
    <numFmt numFmtId="174" formatCode="_(#,##0.0%_);_(\(#,##0.0%\)_);_(#,##0.0%_)"/>
    <numFmt numFmtId="175" formatCode="mmm\-dd\-yyyy"/>
  </numFmts>
  <fonts count="18" x14ac:knownFonts="1">
    <font>
      <sz val="10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i/>
      <sz val="7"/>
      <color rgb="FF7030A0"/>
      <name val="Arial"/>
      <family val="2"/>
    </font>
    <font>
      <i/>
      <sz val="7"/>
      <name val="Arial"/>
      <family val="2"/>
    </font>
    <font>
      <b/>
      <i/>
      <sz val="8"/>
      <color rgb="FF7030A0"/>
      <name val="Arial"/>
      <family val="2"/>
    </font>
    <font>
      <sz val="8"/>
      <color rgb="FF000000"/>
      <name val="Arial"/>
      <family val="2"/>
    </font>
    <font>
      <i/>
      <sz val="8"/>
      <color rgb="FF7030A0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7"/>
      <color rgb="FF7030A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10" fontId="6" fillId="0" borderId="0" xfId="0" applyNumberFormat="1" applyFont="1" applyAlignment="1">
      <alignment horizontal="right" vertical="top"/>
    </xf>
    <xf numFmtId="10" fontId="6" fillId="0" borderId="0" xfId="0" applyNumberFormat="1" applyFont="1" applyAlignment="1">
      <alignment horizontal="right"/>
    </xf>
    <xf numFmtId="9" fontId="6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0" borderId="0" xfId="0" applyFont="1"/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0" fontId="10" fillId="0" borderId="0" xfId="0" applyFont="1"/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166" fontId="13" fillId="0" borderId="0" xfId="0" applyNumberFormat="1" applyFont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4" fillId="0" borderId="2" xfId="0" applyNumberFormat="1" applyFont="1" applyBorder="1" applyAlignment="1">
      <alignment horizontal="right"/>
    </xf>
    <xf numFmtId="166" fontId="15" fillId="0" borderId="0" xfId="0" applyNumberFormat="1" applyFont="1" applyAlignment="1">
      <alignment horizontal="right" vertical="top" wrapText="1"/>
    </xf>
    <xf numFmtId="9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top" wrapText="1"/>
    </xf>
    <xf numFmtId="164" fontId="14" fillId="0" borderId="0" xfId="0" applyNumberFormat="1" applyFont="1" applyAlignment="1">
      <alignment horizontal="right"/>
    </xf>
    <xf numFmtId="0" fontId="16" fillId="3" borderId="0" xfId="0" applyFont="1" applyFill="1" applyAlignment="1">
      <alignment horizontal="left" vertical="top"/>
    </xf>
    <xf numFmtId="166" fontId="12" fillId="3" borderId="0" xfId="0" applyNumberFormat="1" applyFont="1" applyFill="1" applyAlignment="1">
      <alignment horizontal="right" vertical="top" wrapText="1"/>
    </xf>
    <xf numFmtId="166" fontId="12" fillId="3" borderId="0" xfId="0" applyNumberFormat="1" applyFont="1" applyFill="1" applyAlignment="1">
      <alignment horizontal="right"/>
    </xf>
    <xf numFmtId="4" fontId="4" fillId="0" borderId="0" xfId="0" applyNumberFormat="1" applyFont="1" applyAlignment="1">
      <alignment horizontal="right" vertical="top" wrapText="1"/>
    </xf>
    <xf numFmtId="4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vertical="top" wrapText="1"/>
    </xf>
    <xf numFmtId="39" fontId="4" fillId="0" borderId="0" xfId="0" applyNumberFormat="1" applyFont="1" applyAlignment="1">
      <alignment horizontal="right" vertical="top" wrapText="1"/>
    </xf>
    <xf numFmtId="39" fontId="3" fillId="0" borderId="0" xfId="0" applyNumberFormat="1" applyFont="1" applyAlignment="1">
      <alignment horizontal="right"/>
    </xf>
    <xf numFmtId="0" fontId="1" fillId="3" borderId="0" xfId="0" applyFont="1" applyFill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 wrapText="1"/>
    </xf>
    <xf numFmtId="164" fontId="14" fillId="3" borderId="2" xfId="0" applyNumberFormat="1" applyFont="1" applyFill="1" applyBorder="1" applyAlignment="1">
      <alignment horizontal="right"/>
    </xf>
    <xf numFmtId="165" fontId="1" fillId="0" borderId="0" xfId="0" applyNumberFormat="1" applyFont="1" applyAlignment="1">
      <alignment horizontal="right" vertical="top" wrapText="1"/>
    </xf>
    <xf numFmtId="43" fontId="3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right"/>
    </xf>
    <xf numFmtId="167" fontId="14" fillId="3" borderId="0" xfId="0" applyNumberFormat="1" applyFont="1" applyFill="1" applyAlignment="1">
      <alignment horizontal="right"/>
    </xf>
    <xf numFmtId="165" fontId="1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0" fontId="14" fillId="3" borderId="0" xfId="0" applyFont="1" applyFill="1"/>
    <xf numFmtId="168" fontId="14" fillId="3" borderId="0" xfId="0" applyNumberFormat="1" applyFont="1" applyFill="1" applyAlignment="1">
      <alignment horizontal="right"/>
    </xf>
    <xf numFmtId="0" fontId="14" fillId="0" borderId="0" xfId="0" applyFont="1"/>
    <xf numFmtId="10" fontId="15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vertical="top" wrapText="1"/>
    </xf>
    <xf numFmtId="166" fontId="16" fillId="0" borderId="0" xfId="0" applyNumberFormat="1" applyFont="1" applyAlignment="1">
      <alignment horizontal="right" vertical="top" wrapText="1"/>
    </xf>
    <xf numFmtId="9" fontId="16" fillId="0" borderId="0" xfId="0" applyNumberFormat="1" applyFont="1" applyAlignment="1">
      <alignment horizontal="right"/>
    </xf>
    <xf numFmtId="168" fontId="1" fillId="3" borderId="0" xfId="0" applyNumberFormat="1" applyFont="1" applyFill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10" fontId="4" fillId="0" borderId="0" xfId="0" applyNumberFormat="1" applyFont="1" applyAlignment="1">
      <alignment horizontal="right" vertical="top"/>
    </xf>
    <xf numFmtId="169" fontId="1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right" vertical="top" wrapText="1"/>
    </xf>
    <xf numFmtId="165" fontId="17" fillId="0" borderId="1" xfId="0" applyNumberFormat="1" applyFont="1" applyBorder="1" applyAlignment="1">
      <alignment horizontal="right" vertical="top" wrapText="1"/>
    </xf>
    <xf numFmtId="0" fontId="13" fillId="0" borderId="0" xfId="0" applyFont="1" applyAlignment="1">
      <alignment horizontal="right"/>
    </xf>
    <xf numFmtId="169" fontId="1" fillId="3" borderId="0" xfId="0" applyNumberFormat="1" applyFont="1" applyFill="1" applyAlignment="1">
      <alignment horizontal="right" vertical="top" wrapText="1"/>
    </xf>
    <xf numFmtId="171" fontId="17" fillId="0" borderId="0" xfId="0" applyNumberFormat="1" applyFont="1" applyAlignment="1">
      <alignment horizontal="right" vertical="top" wrapText="1"/>
    </xf>
    <xf numFmtId="9" fontId="13" fillId="0" borderId="0" xfId="0" applyNumberFormat="1" applyFont="1" applyAlignment="1">
      <alignment horizontal="right"/>
    </xf>
    <xf numFmtId="10" fontId="13" fillId="0" borderId="0" xfId="0" applyNumberFormat="1" applyFont="1" applyAlignment="1">
      <alignment horizontal="right"/>
    </xf>
    <xf numFmtId="3" fontId="1" fillId="3" borderId="0" xfId="0" applyNumberFormat="1" applyFont="1" applyFill="1" applyAlignment="1">
      <alignment horizontal="right" vertical="top"/>
    </xf>
    <xf numFmtId="10" fontId="1" fillId="3" borderId="0" xfId="0" applyNumberFormat="1" applyFont="1" applyFill="1" applyAlignment="1">
      <alignment horizontal="right" vertical="top" wrapText="1"/>
    </xf>
    <xf numFmtId="10" fontId="4" fillId="0" borderId="0" xfId="0" applyNumberFormat="1" applyFont="1" applyAlignment="1">
      <alignment horizontal="right" vertical="top" wrapText="1"/>
    </xf>
    <xf numFmtId="10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right" vertical="top" wrapText="1"/>
    </xf>
    <xf numFmtId="172" fontId="4" fillId="0" borderId="0" xfId="0" applyNumberFormat="1" applyFont="1" applyAlignment="1">
      <alignment horizontal="right" vertical="top" wrapText="1"/>
    </xf>
    <xf numFmtId="173" fontId="4" fillId="0" borderId="0" xfId="0" applyNumberFormat="1" applyFont="1" applyAlignment="1">
      <alignment horizontal="right" vertical="top" wrapText="1"/>
    </xf>
    <xf numFmtId="174" fontId="4" fillId="0" borderId="0" xfId="0" applyNumberFormat="1" applyFont="1" applyAlignment="1">
      <alignment horizontal="right" vertical="top" wrapText="1"/>
    </xf>
    <xf numFmtId="175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10" fontId="3" fillId="0" borderId="0" xfId="0" applyNumberFormat="1" applyFont="1"/>
    <xf numFmtId="168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E725-8EC8-D949-B08D-B3DC12A5F0CE}">
  <sheetPr>
    <outlinePr summaryBelow="0" summaryRight="0"/>
    <pageSetUpPr autoPageBreaks="0"/>
  </sheetPr>
  <dimension ref="A1:O165"/>
  <sheetViews>
    <sheetView tabSelected="1" topLeftCell="A41" zoomScaleNormal="100" workbookViewId="0">
      <selection activeCell="L80" sqref="L80"/>
    </sheetView>
  </sheetViews>
  <sheetFormatPr baseColWidth="10" defaultRowHeight="11" x14ac:dyDescent="0.15"/>
  <cols>
    <col min="1" max="1" width="38.83203125" style="4" customWidth="1"/>
    <col min="2" max="12" width="10.83203125" style="4" customWidth="1"/>
    <col min="13" max="249" width="8.83203125" style="4" customWidth="1"/>
    <col min="250" max="16384" width="10.83203125" style="4"/>
  </cols>
  <sheetData>
    <row r="1" spans="1:14" ht="24" x14ac:dyDescent="0.15">
      <c r="A1" s="1" t="s">
        <v>0</v>
      </c>
      <c r="B1" s="2">
        <v>2019</v>
      </c>
      <c r="C1" s="2">
        <v>2020</v>
      </c>
      <c r="D1" s="2">
        <v>2021</v>
      </c>
      <c r="E1" s="2">
        <v>2022</v>
      </c>
      <c r="F1" s="2">
        <v>2023</v>
      </c>
      <c r="G1" s="2">
        <v>2024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5</v>
      </c>
    </row>
    <row r="2" spans="1:14" x14ac:dyDescent="0.15">
      <c r="A2" s="5" t="s">
        <v>6</v>
      </c>
      <c r="B2" s="6">
        <v>98115</v>
      </c>
      <c r="C2" s="6">
        <v>104062</v>
      </c>
      <c r="D2" s="6">
        <v>148951</v>
      </c>
      <c r="E2" s="6">
        <v>162450</v>
      </c>
      <c r="F2" s="6">
        <v>175033</v>
      </c>
      <c r="G2" s="6">
        <v>198084</v>
      </c>
      <c r="H2" s="6">
        <f>G2*(1+H3)</f>
        <v>219873.24000000002</v>
      </c>
      <c r="I2" s="6">
        <f t="shared" ref="I2:L2" si="0">H2*(1+I3)</f>
        <v>239661.83160000003</v>
      </c>
      <c r="J2" s="6">
        <f t="shared" si="0"/>
        <v>261231.39644400004</v>
      </c>
      <c r="K2" s="6">
        <f t="shared" si="0"/>
        <v>280823.75117730006</v>
      </c>
      <c r="L2" s="6">
        <f t="shared" si="0"/>
        <v>301885.53251559753</v>
      </c>
      <c r="N2" s="92"/>
    </row>
    <row r="3" spans="1:14" s="12" customFormat="1" x14ac:dyDescent="0.15">
      <c r="A3" s="7"/>
      <c r="B3" s="8"/>
      <c r="C3" s="9">
        <f>(C2-B2)/B2</f>
        <v>6.0612546501554301E-2</v>
      </c>
      <c r="D3" s="9">
        <f t="shared" ref="D3:G3" si="1">(D2-C2)/C2</f>
        <v>0.43136783840402837</v>
      </c>
      <c r="E3" s="9">
        <f t="shared" si="1"/>
        <v>9.0627118985438168E-2</v>
      </c>
      <c r="F3" s="9">
        <f t="shared" si="1"/>
        <v>7.7457679285934139E-2</v>
      </c>
      <c r="G3" s="9">
        <f t="shared" si="1"/>
        <v>0.13169516605440118</v>
      </c>
      <c r="H3" s="10">
        <v>0.11</v>
      </c>
      <c r="I3" s="10">
        <v>0.09</v>
      </c>
      <c r="J3" s="10">
        <v>0.09</v>
      </c>
      <c r="K3" s="11">
        <v>7.4999999999999997E-2</v>
      </c>
      <c r="L3" s="11">
        <v>7.4999999999999997E-2</v>
      </c>
      <c r="N3" s="92"/>
    </row>
    <row r="4" spans="1:14" x14ac:dyDescent="0.15">
      <c r="A4" s="5" t="s">
        <v>7</v>
      </c>
      <c r="B4" s="6">
        <v>15149</v>
      </c>
      <c r="C4" s="6">
        <v>19772</v>
      </c>
      <c r="D4" s="6">
        <v>28845</v>
      </c>
      <c r="E4" s="6">
        <v>29243</v>
      </c>
      <c r="F4" s="6">
        <v>31510</v>
      </c>
      <c r="G4" s="6">
        <v>36147</v>
      </c>
      <c r="H4" s="6">
        <v>36147</v>
      </c>
      <c r="I4" s="6">
        <v>36147</v>
      </c>
      <c r="J4" s="6">
        <v>36147</v>
      </c>
      <c r="K4" s="6">
        <v>36147</v>
      </c>
      <c r="L4" s="6">
        <v>36147</v>
      </c>
      <c r="N4" s="92"/>
    </row>
    <row r="5" spans="1:14" s="14" customFormat="1" x14ac:dyDescent="0.15">
      <c r="A5" s="13"/>
      <c r="B5" s="8"/>
      <c r="C5" s="9">
        <f>(C4-B4)/B4</f>
        <v>0.30516865799722753</v>
      </c>
      <c r="D5" s="9">
        <f t="shared" ref="D5:G5" si="2">(D4-C4)/C4</f>
        <v>0.45888124620675702</v>
      </c>
      <c r="E5" s="9">
        <f t="shared" si="2"/>
        <v>1.3797885248743282E-2</v>
      </c>
      <c r="F5" s="9">
        <f t="shared" si="2"/>
        <v>7.7522825975447116E-2</v>
      </c>
      <c r="G5" s="9">
        <f t="shared" si="2"/>
        <v>0.14715963186290065</v>
      </c>
      <c r="H5" s="11">
        <v>0.13</v>
      </c>
      <c r="I5" s="11">
        <v>0.11</v>
      </c>
      <c r="J5" s="11">
        <v>0.1</v>
      </c>
      <c r="K5" s="11">
        <v>0.1</v>
      </c>
      <c r="L5" s="11">
        <v>0.1</v>
      </c>
      <c r="N5" s="92"/>
    </row>
    <row r="6" spans="1:14" x14ac:dyDescent="0.15">
      <c r="A6" s="5" t="s">
        <v>8</v>
      </c>
      <c r="B6" s="6">
        <v>21547</v>
      </c>
      <c r="C6" s="6">
        <v>23090</v>
      </c>
      <c r="D6" s="6">
        <v>31701</v>
      </c>
      <c r="E6" s="6">
        <v>32780</v>
      </c>
      <c r="F6" s="6">
        <v>31312</v>
      </c>
      <c r="G6" s="6">
        <v>30359</v>
      </c>
      <c r="H6" s="6">
        <f>G6*(1+H7)</f>
        <v>30359</v>
      </c>
      <c r="I6" s="6">
        <f t="shared" ref="I6:L6" si="3">H6*(1+I7)</f>
        <v>30055.41</v>
      </c>
      <c r="J6" s="6">
        <f t="shared" si="3"/>
        <v>30055.41</v>
      </c>
      <c r="K6" s="6">
        <f t="shared" si="3"/>
        <v>29454.301800000001</v>
      </c>
      <c r="L6" s="6">
        <f t="shared" si="3"/>
        <v>28865.215764</v>
      </c>
      <c r="N6" s="92"/>
    </row>
    <row r="7" spans="1:14" s="12" customFormat="1" x14ac:dyDescent="0.15">
      <c r="A7" s="7"/>
      <c r="B7" s="8"/>
      <c r="C7" s="9">
        <f>(C6-B6)/B6</f>
        <v>7.161089710864621E-2</v>
      </c>
      <c r="D7" s="9">
        <f t="shared" ref="D7:G7" si="4">(D6-C6)/C6</f>
        <v>0.37293200519705499</v>
      </c>
      <c r="E7" s="9">
        <f t="shared" si="4"/>
        <v>3.4036781174095455E-2</v>
      </c>
      <c r="F7" s="9">
        <f t="shared" si="4"/>
        <v>-4.4783404514948139E-2</v>
      </c>
      <c r="G7" s="9">
        <f t="shared" si="4"/>
        <v>-3.0435615738375065E-2</v>
      </c>
      <c r="H7" s="11">
        <v>0</v>
      </c>
      <c r="I7" s="11">
        <v>-0.01</v>
      </c>
      <c r="J7" s="11">
        <v>0</v>
      </c>
      <c r="K7" s="11">
        <v>-0.02</v>
      </c>
      <c r="L7" s="11">
        <v>-0.02</v>
      </c>
      <c r="N7" s="92"/>
    </row>
    <row r="8" spans="1:14" x14ac:dyDescent="0.15">
      <c r="A8" s="15" t="s">
        <v>9</v>
      </c>
      <c r="B8" s="16">
        <v>17014</v>
      </c>
      <c r="C8" s="16">
        <v>21711</v>
      </c>
      <c r="D8" s="17">
        <v>28032</v>
      </c>
      <c r="E8" s="17">
        <v>29055</v>
      </c>
      <c r="F8" s="18">
        <v>34688</v>
      </c>
      <c r="G8" s="16">
        <v>40340</v>
      </c>
      <c r="H8" s="16">
        <f>G8*(1+H9)</f>
        <v>46794.399999999994</v>
      </c>
      <c r="I8" s="16">
        <f t="shared" ref="I8:L8" si="5">H8*(1+I9)</f>
        <v>53345.616000000002</v>
      </c>
      <c r="J8" s="16">
        <f t="shared" si="5"/>
        <v>60814.002240000009</v>
      </c>
      <c r="K8" s="16">
        <f t="shared" si="5"/>
        <v>69023.892542400004</v>
      </c>
      <c r="L8" s="16">
        <f t="shared" si="5"/>
        <v>78342.118035624007</v>
      </c>
      <c r="N8" s="92"/>
    </row>
    <row r="9" spans="1:14" s="14" customFormat="1" x14ac:dyDescent="0.15">
      <c r="A9" s="19"/>
      <c r="B9" s="20"/>
      <c r="C9" s="21">
        <f>(C8-B8)/B8</f>
        <v>0.27606676854355239</v>
      </c>
      <c r="D9" s="21">
        <f t="shared" ref="D9:G9" si="6">(D8-C8)/C8</f>
        <v>0.2911427387038828</v>
      </c>
      <c r="E9" s="21">
        <f t="shared" si="6"/>
        <v>3.6494006849315065E-2</v>
      </c>
      <c r="F9" s="21">
        <f t="shared" si="6"/>
        <v>0.19387368783341938</v>
      </c>
      <c r="G9" s="21">
        <f t="shared" si="6"/>
        <v>0.16293819188191883</v>
      </c>
      <c r="H9" s="11">
        <v>0.16</v>
      </c>
      <c r="I9" s="11">
        <v>0.14000000000000001</v>
      </c>
      <c r="J9" s="11">
        <v>0.14000000000000001</v>
      </c>
      <c r="K9" s="11">
        <v>0.13500000000000001</v>
      </c>
      <c r="L9" s="11">
        <v>0.13500000000000001</v>
      </c>
      <c r="N9" s="92"/>
    </row>
    <row r="10" spans="1:14" x14ac:dyDescent="0.15">
      <c r="A10" s="15" t="s">
        <v>10</v>
      </c>
      <c r="B10" s="16">
        <v>8918</v>
      </c>
      <c r="C10" s="16">
        <v>13059</v>
      </c>
      <c r="D10" s="22">
        <v>19206</v>
      </c>
      <c r="E10" s="22">
        <v>26280</v>
      </c>
      <c r="F10" s="16">
        <v>33088</v>
      </c>
      <c r="G10" s="16">
        <v>43229</v>
      </c>
      <c r="H10" s="16">
        <f>G10*(1+H11)</f>
        <v>54036.25</v>
      </c>
      <c r="I10" s="16">
        <f t="shared" ref="I10:L10" si="7">H10*(1+I11)</f>
        <v>65924.225000000006</v>
      </c>
      <c r="J10" s="16">
        <f t="shared" si="7"/>
        <v>80427.554499999998</v>
      </c>
      <c r="K10" s="16">
        <f t="shared" si="7"/>
        <v>94904.514309999999</v>
      </c>
      <c r="L10" s="16">
        <f t="shared" si="7"/>
        <v>111987.32688579999</v>
      </c>
      <c r="N10" s="92"/>
    </row>
    <row r="11" spans="1:14" s="12" customFormat="1" x14ac:dyDescent="0.15">
      <c r="A11" s="23"/>
      <c r="B11" s="20"/>
      <c r="C11" s="21">
        <f>(C10-B10)/B10</f>
        <v>0.46434178066831128</v>
      </c>
      <c r="D11" s="21">
        <f t="shared" ref="D11:G11" si="8">(D10-C10)/C10</f>
        <v>0.47070985527222603</v>
      </c>
      <c r="E11" s="21">
        <f t="shared" si="8"/>
        <v>0.3683223992502343</v>
      </c>
      <c r="F11" s="21">
        <f t="shared" si="8"/>
        <v>0.25905631659056316</v>
      </c>
      <c r="G11" s="21">
        <f t="shared" si="8"/>
        <v>0.30648573500967119</v>
      </c>
      <c r="H11" s="11">
        <v>0.25</v>
      </c>
      <c r="I11" s="11">
        <v>0.22</v>
      </c>
      <c r="J11" s="11">
        <v>0.22</v>
      </c>
      <c r="K11" s="11">
        <v>0.18</v>
      </c>
      <c r="L11" s="11">
        <v>0.18</v>
      </c>
      <c r="N11" s="92"/>
    </row>
    <row r="12" spans="1:14" x14ac:dyDescent="0.15">
      <c r="A12" s="15" t="s">
        <v>11</v>
      </c>
      <c r="B12" s="16">
        <f>455+659</f>
        <v>1114</v>
      </c>
      <c r="C12" s="16">
        <f>657+176</f>
        <v>833</v>
      </c>
      <c r="D12" s="16">
        <f>753+149</f>
        <v>902</v>
      </c>
      <c r="E12" s="16">
        <f>1960+1068</f>
        <v>3028</v>
      </c>
      <c r="F12" s="16">
        <f>1527+236</f>
        <v>1763</v>
      </c>
      <c r="G12" s="16">
        <f>211+1648</f>
        <v>1859</v>
      </c>
      <c r="H12" s="18">
        <f>G12*(1+H13)</f>
        <v>2007.72</v>
      </c>
      <c r="I12" s="18">
        <f t="shared" ref="I12:L12" si="9">H12*(1+I13)</f>
        <v>2248.6464000000001</v>
      </c>
      <c r="J12" s="18">
        <f t="shared" si="9"/>
        <v>2518.4839680000005</v>
      </c>
      <c r="K12" s="18">
        <f t="shared" si="9"/>
        <v>2820.7020441600007</v>
      </c>
      <c r="L12" s="18">
        <f t="shared" si="9"/>
        <v>3159.1862894592009</v>
      </c>
      <c r="N12" s="92"/>
    </row>
    <row r="13" spans="1:14" s="12" customFormat="1" x14ac:dyDescent="0.15">
      <c r="A13" s="23"/>
      <c r="B13" s="20"/>
      <c r="C13" s="21">
        <f>(C12-B12)/B12</f>
        <v>-0.25224416517055653</v>
      </c>
      <c r="D13" s="21">
        <f t="shared" ref="D13:G13" si="10">(D12-C12)/C12</f>
        <v>8.2833133253301314E-2</v>
      </c>
      <c r="E13" s="21">
        <f t="shared" si="10"/>
        <v>2.3569844789356984</v>
      </c>
      <c r="F13" s="21">
        <f t="shared" si="10"/>
        <v>-0.41776750330250989</v>
      </c>
      <c r="G13" s="21">
        <f t="shared" si="10"/>
        <v>5.4452637549631311E-2</v>
      </c>
      <c r="H13" s="11">
        <v>0.08</v>
      </c>
      <c r="I13" s="11">
        <v>0.12</v>
      </c>
      <c r="J13" s="11">
        <v>0.12</v>
      </c>
      <c r="K13" s="11">
        <v>0.12</v>
      </c>
      <c r="L13" s="11">
        <v>0.12</v>
      </c>
      <c r="N13" s="92"/>
    </row>
    <row r="14" spans="1:14" x14ac:dyDescent="0.15">
      <c r="A14" s="5" t="s">
        <v>12</v>
      </c>
      <c r="B14" s="24">
        <f t="shared" ref="B14:L14" si="11">B12+B10+B8+B6+B4+B2</f>
        <v>161857</v>
      </c>
      <c r="C14" s="24">
        <f t="shared" si="11"/>
        <v>182527</v>
      </c>
      <c r="D14" s="24">
        <f t="shared" si="11"/>
        <v>257637</v>
      </c>
      <c r="E14" s="24">
        <f t="shared" si="11"/>
        <v>282836</v>
      </c>
      <c r="F14" s="24">
        <f t="shared" si="11"/>
        <v>307394</v>
      </c>
      <c r="G14" s="24">
        <f t="shared" si="11"/>
        <v>350018</v>
      </c>
      <c r="H14" s="24">
        <f t="shared" si="11"/>
        <v>389217.61</v>
      </c>
      <c r="I14" s="24">
        <f t="shared" si="11"/>
        <v>427382.72900000005</v>
      </c>
      <c r="J14" s="24">
        <f t="shared" si="11"/>
        <v>471193.84715200006</v>
      </c>
      <c r="K14" s="24">
        <f t="shared" si="11"/>
        <v>513174.16187386005</v>
      </c>
      <c r="L14" s="24">
        <f t="shared" si="11"/>
        <v>560386.37949048076</v>
      </c>
      <c r="N14" s="92"/>
    </row>
    <row r="15" spans="1:14" s="25" customFormat="1" x14ac:dyDescent="0.15">
      <c r="A15" s="19"/>
      <c r="B15" s="8"/>
      <c r="C15" s="9">
        <f>(C14-B14)/B14</f>
        <v>0.12770532012826136</v>
      </c>
      <c r="D15" s="9">
        <f t="shared" ref="D15:L15" si="12">(D14-C14)/C14</f>
        <v>0.41150076427049148</v>
      </c>
      <c r="E15" s="9">
        <f t="shared" si="12"/>
        <v>9.7808156437157706E-2</v>
      </c>
      <c r="F15" s="9">
        <f t="shared" si="12"/>
        <v>8.6827702272695137E-2</v>
      </c>
      <c r="G15" s="9">
        <f t="shared" si="12"/>
        <v>0.13866243322901553</v>
      </c>
      <c r="H15" s="9">
        <f t="shared" si="12"/>
        <v>0.11199312606780219</v>
      </c>
      <c r="I15" s="9">
        <f t="shared" si="12"/>
        <v>9.8055992379173354E-2</v>
      </c>
      <c r="J15" s="9">
        <f t="shared" si="12"/>
        <v>0.10251026814890314</v>
      </c>
      <c r="K15" s="9">
        <f t="shared" si="12"/>
        <v>8.9093512098254904E-2</v>
      </c>
      <c r="L15" s="9">
        <f t="shared" si="12"/>
        <v>9.2000379450564829E-2</v>
      </c>
      <c r="N15" s="92"/>
    </row>
    <row r="16" spans="1:14" x14ac:dyDescent="0.15">
      <c r="A16" s="15"/>
      <c r="B16" s="26"/>
      <c r="C16" s="26"/>
      <c r="D16" s="26"/>
      <c r="E16" s="26"/>
      <c r="F16" s="26"/>
      <c r="G16" s="26"/>
      <c r="H16" s="27"/>
      <c r="I16" s="27"/>
      <c r="J16" s="27"/>
      <c r="K16" s="27"/>
      <c r="L16" s="27"/>
      <c r="N16" s="92"/>
    </row>
    <row r="17" spans="1:14" x14ac:dyDescent="0.15">
      <c r="A17" s="28" t="s">
        <v>13</v>
      </c>
      <c r="B17" s="16">
        <v>71896</v>
      </c>
      <c r="C17" s="16">
        <v>84732</v>
      </c>
      <c r="D17" s="16">
        <v>110939</v>
      </c>
      <c r="E17" s="16">
        <v>126203</v>
      </c>
      <c r="F17" s="16">
        <v>133332</v>
      </c>
      <c r="G17" s="16">
        <v>146306</v>
      </c>
      <c r="H17" s="18">
        <f>G17*(1+H18)</f>
        <v>160936.6</v>
      </c>
      <c r="I17" s="18">
        <f t="shared" ref="I17:L17" si="13">H17*(1+I18)</f>
        <v>177030.26</v>
      </c>
      <c r="J17" s="18">
        <f t="shared" si="13"/>
        <v>192962.98340000003</v>
      </c>
      <c r="K17" s="18">
        <f t="shared" si="13"/>
        <v>206470.39223800003</v>
      </c>
      <c r="L17" s="18">
        <f t="shared" si="13"/>
        <v>222988.02361704005</v>
      </c>
      <c r="N17" s="92"/>
    </row>
    <row r="18" spans="1:14" s="14" customFormat="1" x14ac:dyDescent="0.15">
      <c r="A18" s="19"/>
      <c r="B18" s="21"/>
      <c r="C18" s="21">
        <f>(C17-B17)/B17</f>
        <v>0.17853566262378992</v>
      </c>
      <c r="D18" s="21">
        <f t="shared" ref="D18:G18" si="14">(D17-C17)/C17</f>
        <v>0.30929282915545486</v>
      </c>
      <c r="E18" s="21">
        <f t="shared" si="14"/>
        <v>0.13758912555548544</v>
      </c>
      <c r="F18" s="21">
        <f t="shared" si="14"/>
        <v>5.648835606126637E-2</v>
      </c>
      <c r="G18" s="21">
        <f t="shared" si="14"/>
        <v>9.7305973059730599E-2</v>
      </c>
      <c r="H18" s="10">
        <v>0.1</v>
      </c>
      <c r="I18" s="10">
        <v>0.1</v>
      </c>
      <c r="J18" s="10">
        <v>0.09</v>
      </c>
      <c r="K18" s="11">
        <v>7.0000000000000007E-2</v>
      </c>
      <c r="L18" s="10">
        <v>0.08</v>
      </c>
      <c r="N18" s="92"/>
    </row>
    <row r="19" spans="1:14" x14ac:dyDescent="0.15">
      <c r="A19" s="29"/>
      <c r="B19" s="30"/>
      <c r="C19" s="30"/>
      <c r="D19" s="30"/>
      <c r="E19" s="30"/>
      <c r="F19" s="30"/>
      <c r="G19" s="30"/>
      <c r="H19" s="27"/>
      <c r="I19" s="27"/>
      <c r="J19" s="27"/>
      <c r="K19" s="27"/>
      <c r="L19" s="27"/>
      <c r="N19" s="92"/>
    </row>
    <row r="20" spans="1:14" x14ac:dyDescent="0.15">
      <c r="A20" s="5" t="s">
        <v>14</v>
      </c>
      <c r="B20" s="31">
        <v>89961</v>
      </c>
      <c r="C20" s="31">
        <v>97795</v>
      </c>
      <c r="D20" s="31">
        <v>146698</v>
      </c>
      <c r="E20" s="31">
        <v>156633</v>
      </c>
      <c r="F20" s="31">
        <v>174062</v>
      </c>
      <c r="G20" s="31">
        <v>203712</v>
      </c>
      <c r="H20" s="32">
        <f>H14-H17</f>
        <v>228281.00999999998</v>
      </c>
      <c r="I20" s="32">
        <f>I14-I17</f>
        <v>250352.46900000004</v>
      </c>
      <c r="J20" s="32">
        <f>J14-J17</f>
        <v>278230.86375200003</v>
      </c>
      <c r="K20" s="32">
        <f>K14-K17</f>
        <v>306703.76963585999</v>
      </c>
      <c r="L20" s="32">
        <f>L14-L17</f>
        <v>337398.35587344074</v>
      </c>
      <c r="N20" s="92"/>
    </row>
    <row r="21" spans="1:14" x14ac:dyDescent="0.15">
      <c r="A21" s="15"/>
      <c r="B21" s="6"/>
      <c r="C21" s="6"/>
      <c r="D21" s="6"/>
      <c r="E21" s="6"/>
      <c r="F21" s="6"/>
      <c r="G21" s="6"/>
      <c r="H21" s="18"/>
      <c r="I21" s="18"/>
      <c r="J21" s="18"/>
      <c r="K21" s="18"/>
      <c r="L21" s="18"/>
      <c r="N21" s="92"/>
    </row>
    <row r="22" spans="1:14" x14ac:dyDescent="0.15">
      <c r="A22" s="15" t="s">
        <v>15</v>
      </c>
      <c r="B22" s="16">
        <v>28015</v>
      </c>
      <c r="C22" s="16">
        <v>28998</v>
      </c>
      <c r="D22" s="16">
        <v>36422</v>
      </c>
      <c r="E22" s="16">
        <v>42291</v>
      </c>
      <c r="F22" s="16">
        <v>44342</v>
      </c>
      <c r="G22" s="16">
        <v>41996</v>
      </c>
      <c r="H22" s="18">
        <f>G22*(1+H23)</f>
        <v>45355.68</v>
      </c>
      <c r="I22" s="18">
        <f t="shared" ref="I22:L22" si="15">H22*(1+I23)</f>
        <v>48530.577600000004</v>
      </c>
      <c r="J22" s="18">
        <f t="shared" si="15"/>
        <v>51927.718032000004</v>
      </c>
      <c r="K22" s="18">
        <f t="shared" si="15"/>
        <v>55562.658294240005</v>
      </c>
      <c r="L22" s="18">
        <f t="shared" si="15"/>
        <v>59452.044374836812</v>
      </c>
      <c r="N22" s="92"/>
    </row>
    <row r="23" spans="1:14" x14ac:dyDescent="0.15">
      <c r="A23" s="29"/>
      <c r="B23" s="33"/>
      <c r="C23" s="21">
        <f>(C22-B22)/B22</f>
        <v>3.5088345529180796E-2</v>
      </c>
      <c r="D23" s="21">
        <f t="shared" ref="D23:G23" si="16">(D22-C22)/C22</f>
        <v>0.25601765639009588</v>
      </c>
      <c r="E23" s="21">
        <f t="shared" si="16"/>
        <v>0.16113887211026304</v>
      </c>
      <c r="F23" s="21">
        <f t="shared" si="16"/>
        <v>4.849731621385165E-2</v>
      </c>
      <c r="G23" s="21">
        <f t="shared" si="16"/>
        <v>-5.2906950520950791E-2</v>
      </c>
      <c r="H23" s="11">
        <v>0.08</v>
      </c>
      <c r="I23" s="11">
        <v>7.0000000000000007E-2</v>
      </c>
      <c r="J23" s="11">
        <v>7.0000000000000007E-2</v>
      </c>
      <c r="K23" s="11">
        <v>7.0000000000000007E-2</v>
      </c>
      <c r="L23" s="10">
        <v>7.0000000000000007E-2</v>
      </c>
      <c r="N23" s="92"/>
    </row>
    <row r="24" spans="1:14" x14ac:dyDescent="0.15">
      <c r="A24" s="29"/>
      <c r="B24" s="30"/>
      <c r="C24" s="30"/>
      <c r="D24" s="30"/>
      <c r="E24" s="30"/>
      <c r="F24" s="30"/>
      <c r="G24" s="30"/>
      <c r="H24" s="34"/>
      <c r="I24" s="34"/>
      <c r="J24" s="34"/>
      <c r="K24" s="34"/>
      <c r="L24" s="35"/>
      <c r="N24" s="92"/>
    </row>
    <row r="25" spans="1:14" x14ac:dyDescent="0.15">
      <c r="A25" s="15" t="s">
        <v>16</v>
      </c>
      <c r="B25" s="16">
        <v>26018</v>
      </c>
      <c r="C25" s="16">
        <v>27573</v>
      </c>
      <c r="D25" s="16">
        <v>31562</v>
      </c>
      <c r="E25" s="16">
        <v>39500</v>
      </c>
      <c r="F25" s="16">
        <v>45427</v>
      </c>
      <c r="G25" s="16">
        <v>47530</v>
      </c>
      <c r="H25" s="36">
        <f>G25*(1+H26)</f>
        <v>54184.200000000004</v>
      </c>
      <c r="I25" s="36">
        <f t="shared" ref="I25:L25" si="17">H25*(1+I26)</f>
        <v>59602.62000000001</v>
      </c>
      <c r="J25" s="36">
        <f t="shared" si="17"/>
        <v>64966.855800000012</v>
      </c>
      <c r="K25" s="36">
        <f t="shared" si="17"/>
        <v>70164.204264000015</v>
      </c>
      <c r="L25" s="36">
        <f t="shared" si="17"/>
        <v>75777.340605120015</v>
      </c>
      <c r="N25" s="92"/>
    </row>
    <row r="26" spans="1:14" s="14" customFormat="1" x14ac:dyDescent="0.15">
      <c r="A26" s="25"/>
      <c r="B26" s="20"/>
      <c r="C26" s="21">
        <f>(C25-B25)/B25</f>
        <v>5.9766315627642404E-2</v>
      </c>
      <c r="D26" s="21">
        <f t="shared" ref="D26:G26" si="18">(D25-C25)/C25</f>
        <v>0.14467051100714468</v>
      </c>
      <c r="E26" s="21">
        <f t="shared" si="18"/>
        <v>0.25150497433622709</v>
      </c>
      <c r="F26" s="21">
        <f t="shared" si="18"/>
        <v>0.1500506329113924</v>
      </c>
      <c r="G26" s="21">
        <f t="shared" si="18"/>
        <v>4.6294054196843286E-2</v>
      </c>
      <c r="H26" s="37">
        <v>0.14000000000000001</v>
      </c>
      <c r="I26" s="37">
        <v>0.1</v>
      </c>
      <c r="J26" s="37">
        <v>0.09</v>
      </c>
      <c r="K26" s="37">
        <v>0.08</v>
      </c>
      <c r="L26" s="37">
        <v>0.08</v>
      </c>
      <c r="N26" s="92"/>
    </row>
    <row r="27" spans="1:14" x14ac:dyDescent="0.15">
      <c r="A27" s="5" t="s">
        <v>17</v>
      </c>
      <c r="B27" s="31">
        <v>54033</v>
      </c>
      <c r="C27" s="31">
        <v>56571</v>
      </c>
      <c r="D27" s="31">
        <v>67984</v>
      </c>
      <c r="E27" s="31">
        <v>81791</v>
      </c>
      <c r="F27" s="31">
        <v>89769</v>
      </c>
      <c r="G27" s="31">
        <v>89526</v>
      </c>
      <c r="H27" s="32">
        <f>H25+H22</f>
        <v>99539.88</v>
      </c>
      <c r="I27" s="32">
        <f>I25+I22</f>
        <v>108133.19760000001</v>
      </c>
      <c r="J27" s="32">
        <f>J25+J22</f>
        <v>116894.57383200002</v>
      </c>
      <c r="K27" s="32">
        <f>K25+K22</f>
        <v>125726.86255824001</v>
      </c>
      <c r="L27" s="32">
        <f>L25+L22</f>
        <v>135229.38497995684</v>
      </c>
      <c r="N27" s="92"/>
    </row>
    <row r="28" spans="1:14" x14ac:dyDescent="0.15">
      <c r="A28" s="15"/>
      <c r="B28" s="6"/>
      <c r="C28" s="6"/>
      <c r="D28" s="6"/>
      <c r="E28" s="6"/>
      <c r="F28" s="6"/>
      <c r="G28" s="6"/>
      <c r="H28" s="18"/>
      <c r="I28" s="18"/>
      <c r="J28" s="18"/>
      <c r="K28" s="18"/>
      <c r="L28" s="18"/>
      <c r="N28" s="92"/>
    </row>
    <row r="29" spans="1:14" x14ac:dyDescent="0.15">
      <c r="A29" s="5" t="s">
        <v>18</v>
      </c>
      <c r="B29" s="38">
        <v>35928</v>
      </c>
      <c r="C29" s="38">
        <v>41224</v>
      </c>
      <c r="D29" s="38">
        <v>78714</v>
      </c>
      <c r="E29" s="38">
        <v>74842</v>
      </c>
      <c r="F29" s="38">
        <v>84293</v>
      </c>
      <c r="G29" s="38">
        <v>114186</v>
      </c>
      <c r="H29" s="39">
        <f>H20-H27</f>
        <v>128741.12999999998</v>
      </c>
      <c r="I29" s="39">
        <f>I20-I27</f>
        <v>142219.27140000003</v>
      </c>
      <c r="J29" s="39">
        <f>J20-J27</f>
        <v>161336.28992000001</v>
      </c>
      <c r="K29" s="39">
        <f>K20-K27</f>
        <v>180976.90707761998</v>
      </c>
      <c r="L29" s="39">
        <f>L20-L27</f>
        <v>202168.9708934839</v>
      </c>
      <c r="N29" s="92"/>
    </row>
    <row r="30" spans="1:14" x14ac:dyDescent="0.15">
      <c r="A30" s="40" t="s">
        <v>19</v>
      </c>
      <c r="B30" s="41">
        <f t="shared" ref="B30:L30" si="19">B29/B14</f>
        <v>0.22197371754079218</v>
      </c>
      <c r="C30" s="41">
        <f t="shared" si="19"/>
        <v>0.22585151785763202</v>
      </c>
      <c r="D30" s="41">
        <f t="shared" si="19"/>
        <v>0.3055228868524319</v>
      </c>
      <c r="E30" s="41">
        <f t="shared" si="19"/>
        <v>0.26461270842467011</v>
      </c>
      <c r="F30" s="41">
        <f t="shared" si="19"/>
        <v>0.27421810445226646</v>
      </c>
      <c r="G30" s="41">
        <f t="shared" si="19"/>
        <v>0.32622893679753612</v>
      </c>
      <c r="H30" s="42">
        <f t="shared" si="19"/>
        <v>0.33076902661213087</v>
      </c>
      <c r="I30" s="42">
        <f t="shared" si="19"/>
        <v>0.33276794252488384</v>
      </c>
      <c r="J30" s="42">
        <f t="shared" si="19"/>
        <v>0.3423989742123168</v>
      </c>
      <c r="K30" s="42">
        <f t="shared" si="19"/>
        <v>0.35266176772575841</v>
      </c>
      <c r="L30" s="42">
        <f t="shared" si="19"/>
        <v>0.36076710336411405</v>
      </c>
      <c r="N30" s="92"/>
    </row>
    <row r="31" spans="1:14" x14ac:dyDescent="0.15">
      <c r="A31" s="15"/>
      <c r="B31" s="26"/>
      <c r="C31" s="26"/>
      <c r="D31" s="26"/>
      <c r="E31" s="26"/>
      <c r="F31" s="26"/>
      <c r="G31" s="26"/>
      <c r="H31" s="27"/>
      <c r="I31" s="27"/>
      <c r="J31" s="27"/>
      <c r="K31" s="27"/>
      <c r="L31" s="27"/>
      <c r="N31" s="92"/>
    </row>
    <row r="32" spans="1:14" x14ac:dyDescent="0.15">
      <c r="A32" s="15" t="s">
        <v>20</v>
      </c>
      <c r="B32" s="43">
        <v>-100</v>
      </c>
      <c r="C32" s="43">
        <v>-135</v>
      </c>
      <c r="D32" s="43">
        <v>-346</v>
      </c>
      <c r="E32" s="43">
        <v>-357</v>
      </c>
      <c r="F32" s="43">
        <v>-308</v>
      </c>
      <c r="G32" s="43">
        <v>-268</v>
      </c>
      <c r="H32" s="44">
        <v>-250</v>
      </c>
      <c r="I32" s="44">
        <v>-254</v>
      </c>
      <c r="J32" s="44">
        <v>-243</v>
      </c>
      <c r="K32" s="44">
        <v>-150</v>
      </c>
      <c r="L32" s="44">
        <v>-146</v>
      </c>
      <c r="N32" s="92"/>
    </row>
    <row r="33" spans="1:14" x14ac:dyDescent="0.15">
      <c r="A33" s="15" t="s">
        <v>21</v>
      </c>
      <c r="B33" s="16">
        <v>2427</v>
      </c>
      <c r="C33" s="16">
        <v>1865</v>
      </c>
      <c r="D33" s="16">
        <v>1499</v>
      </c>
      <c r="E33" s="16">
        <v>2174</v>
      </c>
      <c r="F33" s="16">
        <v>3865</v>
      </c>
      <c r="G33" s="16">
        <v>4482</v>
      </c>
      <c r="H33" s="18">
        <f>G88*H89</f>
        <v>3826.28</v>
      </c>
      <c r="I33" s="18">
        <f>G88*I89</f>
        <v>2869.71</v>
      </c>
      <c r="J33" s="18">
        <f>G88*J89</f>
        <v>2391.4250000000002</v>
      </c>
      <c r="K33" s="18">
        <f>G88*K89</f>
        <v>2391.4250000000002</v>
      </c>
      <c r="L33" s="18">
        <f>G88*L89</f>
        <v>2391.4250000000002</v>
      </c>
      <c r="N33" s="92"/>
    </row>
    <row r="34" spans="1:14" x14ac:dyDescent="0.15">
      <c r="A34" s="5" t="s">
        <v>22</v>
      </c>
      <c r="B34" s="31">
        <v>2327</v>
      </c>
      <c r="C34" s="31">
        <v>1730</v>
      </c>
      <c r="D34" s="31">
        <v>1153</v>
      </c>
      <c r="E34" s="31">
        <v>1817</v>
      </c>
      <c r="F34" s="31">
        <v>3557</v>
      </c>
      <c r="G34" s="31">
        <v>4214</v>
      </c>
      <c r="H34" s="32">
        <f>H32+H33</f>
        <v>3576.28</v>
      </c>
      <c r="I34" s="32">
        <f t="shared" ref="I34:L34" si="20">I32+I33</f>
        <v>2615.71</v>
      </c>
      <c r="J34" s="32">
        <f t="shared" si="20"/>
        <v>2148.4250000000002</v>
      </c>
      <c r="K34" s="32">
        <f t="shared" si="20"/>
        <v>2241.4250000000002</v>
      </c>
      <c r="L34" s="32">
        <f t="shared" si="20"/>
        <v>2245.4250000000002</v>
      </c>
      <c r="N34" s="92"/>
    </row>
    <row r="35" spans="1:14" x14ac:dyDescent="0.1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N35" s="92"/>
    </row>
    <row r="36" spans="1:14" ht="12" x14ac:dyDescent="0.15">
      <c r="A36" s="15" t="s">
        <v>23</v>
      </c>
      <c r="B36" s="45" t="s">
        <v>24</v>
      </c>
      <c r="C36" s="45">
        <v>401</v>
      </c>
      <c r="D36" s="45">
        <v>334</v>
      </c>
      <c r="E36" s="45">
        <v>-337</v>
      </c>
      <c r="F36" s="45">
        <v>-628</v>
      </c>
      <c r="G36" s="45">
        <v>-188</v>
      </c>
      <c r="H36" s="27"/>
      <c r="I36" s="27"/>
      <c r="J36" s="27"/>
      <c r="K36" s="27"/>
      <c r="L36" s="27"/>
      <c r="N36" s="92"/>
    </row>
    <row r="37" spans="1:14" x14ac:dyDescent="0.15">
      <c r="A37" s="15" t="s">
        <v>25</v>
      </c>
      <c r="B37" s="45">
        <v>103</v>
      </c>
      <c r="C37" s="45">
        <v>-344</v>
      </c>
      <c r="D37" s="45">
        <v>-240</v>
      </c>
      <c r="E37" s="45">
        <v>-654</v>
      </c>
      <c r="F37" s="45">
        <v>-1238</v>
      </c>
      <c r="G37" s="46">
        <v>-409</v>
      </c>
      <c r="H37" s="47">
        <v>-550</v>
      </c>
      <c r="I37" s="47">
        <v>-600</v>
      </c>
      <c r="J37" s="47">
        <v>-650</v>
      </c>
      <c r="K37" s="47">
        <v>-650</v>
      </c>
      <c r="L37" s="47">
        <v>-700</v>
      </c>
      <c r="N37" s="92"/>
    </row>
    <row r="38" spans="1:14" x14ac:dyDescent="0.15">
      <c r="A38" s="15" t="s">
        <v>26</v>
      </c>
      <c r="B38" s="45">
        <v>-224</v>
      </c>
      <c r="C38" s="45">
        <v>-1246</v>
      </c>
      <c r="D38" s="45">
        <v>-1497</v>
      </c>
      <c r="E38" s="45">
        <v>1179</v>
      </c>
      <c r="F38" s="45">
        <v>556</v>
      </c>
      <c r="G38" s="45">
        <v>1137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N38" s="92"/>
    </row>
    <row r="39" spans="1:14" x14ac:dyDescent="0.15">
      <c r="A39" s="5" t="s">
        <v>27</v>
      </c>
      <c r="B39" s="31">
        <v>38134</v>
      </c>
      <c r="C39" s="31">
        <v>41765</v>
      </c>
      <c r="D39" s="31">
        <v>78464</v>
      </c>
      <c r="E39" s="31">
        <v>76847</v>
      </c>
      <c r="F39" s="31">
        <v>86540</v>
      </c>
      <c r="G39" s="31">
        <v>118940</v>
      </c>
      <c r="H39" s="32">
        <f>H29+H34+H37</f>
        <v>131767.40999999997</v>
      </c>
      <c r="I39" s="32">
        <f>I29+I34+I37</f>
        <v>144234.98140000002</v>
      </c>
      <c r="J39" s="32">
        <f>J29+J34+J37</f>
        <v>162834.71492</v>
      </c>
      <c r="K39" s="32">
        <f>K29+K34+K37</f>
        <v>182568.33207761997</v>
      </c>
      <c r="L39" s="32">
        <f>L29+L34+L37</f>
        <v>203714.39589348389</v>
      </c>
      <c r="N39" s="92"/>
    </row>
    <row r="40" spans="1:14" x14ac:dyDescent="0.15">
      <c r="A40" s="15"/>
      <c r="B40" s="26"/>
      <c r="C40" s="26"/>
      <c r="D40" s="26"/>
      <c r="E40" s="26"/>
      <c r="F40" s="26"/>
      <c r="G40" s="26"/>
      <c r="H40" s="27"/>
      <c r="I40" s="27"/>
      <c r="J40" s="27"/>
      <c r="K40" s="27"/>
      <c r="L40" s="27"/>
      <c r="N40" s="92"/>
    </row>
    <row r="41" spans="1:14" x14ac:dyDescent="0.15">
      <c r="A41" s="15" t="s">
        <v>28</v>
      </c>
      <c r="B41" s="45"/>
      <c r="C41" s="45"/>
      <c r="D41" s="45"/>
      <c r="E41" s="45"/>
      <c r="F41" s="45"/>
      <c r="G41" s="45">
        <v>-1796</v>
      </c>
      <c r="H41" s="27"/>
      <c r="I41" s="27"/>
      <c r="J41" s="27"/>
      <c r="K41" s="27"/>
      <c r="L41" s="27"/>
      <c r="N41" s="92"/>
    </row>
    <row r="42" spans="1:14" x14ac:dyDescent="0.15">
      <c r="A42" s="15" t="s">
        <v>29</v>
      </c>
      <c r="B42" s="45">
        <v>3188</v>
      </c>
      <c r="C42" s="45">
        <v>6317</v>
      </c>
      <c r="D42" s="45">
        <v>12270</v>
      </c>
      <c r="E42" s="45">
        <v>-5519</v>
      </c>
      <c r="F42" s="45">
        <v>-823</v>
      </c>
      <c r="G42" s="45">
        <v>2671</v>
      </c>
      <c r="H42" s="27"/>
      <c r="I42" s="27"/>
      <c r="J42" s="27"/>
      <c r="K42" s="27"/>
      <c r="L42" s="27"/>
      <c r="N42" s="92"/>
    </row>
    <row r="43" spans="1:14" ht="12" x14ac:dyDescent="0.15">
      <c r="A43" s="15" t="s">
        <v>30</v>
      </c>
      <c r="B43" s="45">
        <v>-1697</v>
      </c>
      <c r="C43" s="45"/>
      <c r="D43" s="45" t="s">
        <v>24</v>
      </c>
      <c r="E43" s="45"/>
      <c r="F43" s="45"/>
      <c r="G43" s="45"/>
      <c r="H43" s="27"/>
      <c r="I43" s="27"/>
      <c r="J43" s="27"/>
      <c r="K43" s="27"/>
      <c r="L43" s="27"/>
      <c r="N43" s="92"/>
    </row>
    <row r="44" spans="1:14" x14ac:dyDescent="0.15">
      <c r="A44" s="5" t="s">
        <v>31</v>
      </c>
      <c r="B44" s="31">
        <v>39625</v>
      </c>
      <c r="C44" s="31">
        <v>48082</v>
      </c>
      <c r="D44" s="31">
        <v>90734</v>
      </c>
      <c r="E44" s="31">
        <v>71328</v>
      </c>
      <c r="F44" s="31">
        <v>85717</v>
      </c>
      <c r="G44" s="31">
        <v>119815</v>
      </c>
      <c r="H44" s="32">
        <f>H39-H41-H42-H43</f>
        <v>131767.40999999997</v>
      </c>
      <c r="I44" s="32">
        <f>I39-I41-I42-I43</f>
        <v>144234.98140000002</v>
      </c>
      <c r="J44" s="32">
        <f t="shared" ref="J44:L44" si="21">J39-J41-J42-J43</f>
        <v>162834.71492</v>
      </c>
      <c r="K44" s="32">
        <f t="shared" si="21"/>
        <v>182568.33207761997</v>
      </c>
      <c r="L44" s="32">
        <f t="shared" si="21"/>
        <v>203714.39589348389</v>
      </c>
      <c r="N44" s="92"/>
    </row>
    <row r="45" spans="1:14" x14ac:dyDescent="0.15">
      <c r="A45" s="15"/>
      <c r="B45" s="26"/>
      <c r="C45" s="26"/>
      <c r="D45" s="26"/>
      <c r="E45" s="26"/>
      <c r="F45" s="26"/>
      <c r="G45" s="26"/>
      <c r="H45" s="35"/>
      <c r="I45" s="35"/>
      <c r="J45" s="35"/>
      <c r="K45" s="35"/>
      <c r="L45" s="35"/>
      <c r="N45" s="92"/>
    </row>
    <row r="46" spans="1:14" x14ac:dyDescent="0.15">
      <c r="A46" s="15" t="s">
        <v>32</v>
      </c>
      <c r="B46" s="16">
        <v>5282</v>
      </c>
      <c r="C46" s="16">
        <v>7813</v>
      </c>
      <c r="D46" s="16">
        <v>14701</v>
      </c>
      <c r="E46" s="16">
        <v>11356</v>
      </c>
      <c r="F46" s="16">
        <v>11922</v>
      </c>
      <c r="G46" s="16">
        <v>19697</v>
      </c>
      <c r="H46" s="18">
        <f>H47*H29</f>
        <v>22529.697749999996</v>
      </c>
      <c r="I46" s="18">
        <f>I47*I29</f>
        <v>24177.276138000005</v>
      </c>
      <c r="J46" s="18">
        <f>J47*J29</f>
        <v>27427.169286400003</v>
      </c>
      <c r="K46" s="18">
        <f>K47*K29</f>
        <v>28956.305132419198</v>
      </c>
      <c r="L46" s="18">
        <f>L47*L29</f>
        <v>32347.035342957424</v>
      </c>
      <c r="N46" s="92"/>
    </row>
    <row r="47" spans="1:14" s="12" customFormat="1" x14ac:dyDescent="0.15">
      <c r="A47" s="19" t="s">
        <v>33</v>
      </c>
      <c r="B47" s="21">
        <f t="shared" ref="B47:G47" si="22">B46/B29</f>
        <v>0.14701625473168559</v>
      </c>
      <c r="C47" s="21">
        <f t="shared" si="22"/>
        <v>0.18952551911507859</v>
      </c>
      <c r="D47" s="21">
        <f t="shared" si="22"/>
        <v>0.18676474324770689</v>
      </c>
      <c r="E47" s="21">
        <f t="shared" si="22"/>
        <v>0.15173298415328293</v>
      </c>
      <c r="F47" s="21">
        <f t="shared" si="22"/>
        <v>0.14143523186978751</v>
      </c>
      <c r="G47" s="21">
        <f t="shared" si="22"/>
        <v>0.17249925560051144</v>
      </c>
      <c r="H47" s="10">
        <v>0.17499999999999999</v>
      </c>
      <c r="I47" s="11">
        <v>0.17</v>
      </c>
      <c r="J47" s="11">
        <v>0.17</v>
      </c>
      <c r="K47" s="11">
        <v>0.16</v>
      </c>
      <c r="L47" s="11">
        <v>0.16</v>
      </c>
      <c r="N47" s="92"/>
    </row>
    <row r="48" spans="1:14" x14ac:dyDescent="0.15">
      <c r="A48" s="48" t="s">
        <v>34</v>
      </c>
      <c r="B48" s="49">
        <v>34343</v>
      </c>
      <c r="C48" s="49">
        <v>40269</v>
      </c>
      <c r="D48" s="49">
        <v>76033</v>
      </c>
      <c r="E48" s="49">
        <v>59972</v>
      </c>
      <c r="F48" s="49">
        <v>73795</v>
      </c>
      <c r="G48" s="49">
        <v>100118</v>
      </c>
      <c r="H48" s="50">
        <f>H44-H46</f>
        <v>109237.71224999998</v>
      </c>
      <c r="I48" s="50">
        <f>I44-I46</f>
        <v>120057.70526200002</v>
      </c>
      <c r="J48" s="50">
        <f>J44-J46</f>
        <v>135407.54563360001</v>
      </c>
      <c r="K48" s="50">
        <f>K44-K46</f>
        <v>153612.02694520078</v>
      </c>
      <c r="L48" s="50">
        <f>L44-L46</f>
        <v>171367.36055052647</v>
      </c>
      <c r="N48" s="92"/>
    </row>
    <row r="49" spans="1:15" x14ac:dyDescent="0.15">
      <c r="A49" s="5"/>
      <c r="B49" s="51"/>
      <c r="C49" s="51"/>
      <c r="D49" s="51"/>
      <c r="E49" s="51"/>
      <c r="F49" s="51"/>
      <c r="G49" s="51"/>
      <c r="H49" s="52"/>
      <c r="I49" s="52"/>
      <c r="J49" s="52"/>
      <c r="K49" s="52"/>
      <c r="L49" s="52"/>
    </row>
    <row r="50" spans="1:15" x14ac:dyDescent="0.15">
      <c r="A50" s="5"/>
      <c r="B50" s="51"/>
      <c r="C50" s="51"/>
      <c r="D50" s="38"/>
      <c r="E50" s="51"/>
      <c r="F50" s="51"/>
      <c r="G50" s="51"/>
      <c r="H50" s="52"/>
      <c r="I50" s="52"/>
      <c r="J50" s="52"/>
      <c r="K50" s="52"/>
      <c r="L50" s="52"/>
    </row>
    <row r="51" spans="1:15" x14ac:dyDescent="0.15">
      <c r="A51" s="15" t="s">
        <v>35</v>
      </c>
      <c r="B51" s="53">
        <v>28.7</v>
      </c>
      <c r="C51" s="53">
        <v>33.869999999999997</v>
      </c>
      <c r="D51" s="53">
        <v>27.91</v>
      </c>
      <c r="E51" s="53">
        <v>17.5</v>
      </c>
      <c r="F51" s="53">
        <v>26.81</v>
      </c>
      <c r="G51" s="53">
        <v>25.12</v>
      </c>
      <c r="H51" s="54"/>
      <c r="I51" s="54"/>
      <c r="J51" s="54"/>
      <c r="K51" s="54"/>
      <c r="L51" s="55">
        <v>23</v>
      </c>
    </row>
    <row r="52" spans="1:15" x14ac:dyDescent="0.15">
      <c r="A52" s="5"/>
      <c r="B52" s="51"/>
      <c r="C52" s="51"/>
      <c r="D52" s="51"/>
      <c r="E52" s="51"/>
      <c r="F52" s="51"/>
      <c r="G52" s="51"/>
      <c r="H52" s="52"/>
      <c r="I52" s="52"/>
      <c r="J52" s="52"/>
      <c r="K52" s="52"/>
      <c r="L52" s="52"/>
      <c r="O52" s="15"/>
    </row>
    <row r="53" spans="1:15" x14ac:dyDescent="0.15">
      <c r="A53" s="5"/>
      <c r="B53" s="51"/>
      <c r="C53" s="51"/>
      <c r="D53" s="51"/>
      <c r="E53" s="51"/>
      <c r="F53" s="51"/>
      <c r="G53" s="51"/>
      <c r="H53" s="52"/>
      <c r="I53" s="52"/>
      <c r="J53" s="52"/>
      <c r="K53" s="52"/>
      <c r="L53" s="52"/>
      <c r="O53" s="15"/>
    </row>
    <row r="54" spans="1:15" x14ac:dyDescent="0.15">
      <c r="A54" s="5"/>
      <c r="B54" s="51"/>
      <c r="C54" s="51"/>
      <c r="D54" s="51"/>
      <c r="E54" s="51"/>
      <c r="F54" s="51"/>
      <c r="G54" s="51"/>
      <c r="H54" s="52"/>
      <c r="I54" s="52"/>
      <c r="J54" s="52"/>
      <c r="K54" s="52"/>
      <c r="L54" s="52"/>
    </row>
    <row r="55" spans="1:15" ht="24" customHeight="1" x14ac:dyDescent="0.15">
      <c r="A55" s="1"/>
      <c r="B55" s="2">
        <v>2019</v>
      </c>
      <c r="C55" s="2">
        <v>2020</v>
      </c>
      <c r="D55" s="2">
        <v>2021</v>
      </c>
      <c r="E55" s="2">
        <v>2022</v>
      </c>
      <c r="F55" s="2">
        <v>2023</v>
      </c>
      <c r="G55" s="2">
        <v>2024</v>
      </c>
      <c r="H55" s="3" t="s">
        <v>1</v>
      </c>
      <c r="I55" s="3" t="s">
        <v>2</v>
      </c>
      <c r="J55" s="3" t="s">
        <v>3</v>
      </c>
      <c r="K55" s="3" t="s">
        <v>4</v>
      </c>
      <c r="L55" s="3" t="s">
        <v>5</v>
      </c>
    </row>
    <row r="56" spans="1:15" x14ac:dyDescent="0.15">
      <c r="A56" s="5" t="s">
        <v>36</v>
      </c>
      <c r="B56" s="26"/>
      <c r="C56" s="26"/>
      <c r="D56" s="26"/>
      <c r="E56" s="26"/>
      <c r="F56" s="26"/>
      <c r="G56" s="26"/>
      <c r="H56" s="26"/>
      <c r="I56" s="27"/>
      <c r="J56" s="27"/>
      <c r="K56" s="27"/>
      <c r="L56" s="27"/>
    </row>
    <row r="57" spans="1:15" x14ac:dyDescent="0.15">
      <c r="A57" s="5" t="s">
        <v>37</v>
      </c>
      <c r="B57" s="51">
        <v>34343</v>
      </c>
      <c r="C57" s="51">
        <v>40269</v>
      </c>
      <c r="D57" s="51">
        <v>76033</v>
      </c>
      <c r="E57" s="51">
        <v>59972</v>
      </c>
      <c r="F57" s="51">
        <v>73795</v>
      </c>
      <c r="G57" s="51">
        <v>100118</v>
      </c>
      <c r="H57" s="51">
        <f>H48</f>
        <v>109237.71224999998</v>
      </c>
      <c r="I57" s="51">
        <f t="shared" ref="I57:L57" si="23">I48</f>
        <v>120057.70526200002</v>
      </c>
      <c r="J57" s="51">
        <f t="shared" si="23"/>
        <v>135407.54563360001</v>
      </c>
      <c r="K57" s="51">
        <f t="shared" si="23"/>
        <v>153612.02694520078</v>
      </c>
      <c r="L57" s="51">
        <f t="shared" si="23"/>
        <v>171367.36055052647</v>
      </c>
    </row>
    <row r="58" spans="1:15" x14ac:dyDescent="0.15">
      <c r="A58" s="15" t="s">
        <v>38</v>
      </c>
      <c r="B58" s="45">
        <v>10856</v>
      </c>
      <c r="C58" s="45">
        <v>12905</v>
      </c>
      <c r="D58" s="45">
        <v>10273</v>
      </c>
      <c r="E58" s="45">
        <v>13475</v>
      </c>
      <c r="F58" s="45">
        <v>11946</v>
      </c>
      <c r="G58" s="45">
        <v>15311</v>
      </c>
      <c r="H58" s="45"/>
      <c r="I58" s="27"/>
      <c r="J58" s="27"/>
      <c r="K58" s="27"/>
      <c r="L58" s="27"/>
    </row>
    <row r="59" spans="1:15" ht="12" x14ac:dyDescent="0.15">
      <c r="A59" s="15" t="s">
        <v>39</v>
      </c>
      <c r="B59" s="45">
        <v>795</v>
      </c>
      <c r="C59" s="45">
        <v>774</v>
      </c>
      <c r="D59" s="45" t="s">
        <v>24</v>
      </c>
      <c r="E59" s="45" t="s">
        <v>24</v>
      </c>
      <c r="F59" s="45" t="s">
        <v>24</v>
      </c>
      <c r="G59" s="45" t="s">
        <v>24</v>
      </c>
      <c r="H59" s="45"/>
      <c r="I59" s="27"/>
      <c r="J59" s="27"/>
      <c r="K59" s="27"/>
      <c r="L59" s="27"/>
    </row>
    <row r="60" spans="1:15" x14ac:dyDescent="0.15">
      <c r="A60" s="5" t="s">
        <v>38</v>
      </c>
      <c r="B60" s="56">
        <v>11651</v>
      </c>
      <c r="C60" s="56">
        <v>13679</v>
      </c>
      <c r="D60" s="56">
        <v>10273</v>
      </c>
      <c r="E60" s="56">
        <v>13475</v>
      </c>
      <c r="F60" s="56">
        <v>11946</v>
      </c>
      <c r="G60" s="56">
        <v>15311</v>
      </c>
      <c r="H60" s="56">
        <f>G60*(1+H61)</f>
        <v>17607.649999999998</v>
      </c>
      <c r="I60" s="56">
        <f t="shared" ref="I60:L60" si="24">H60*(1+I61)</f>
        <v>19192.338499999998</v>
      </c>
      <c r="J60" s="56">
        <f t="shared" si="24"/>
        <v>21111.572349999999</v>
      </c>
      <c r="K60" s="56">
        <f t="shared" si="24"/>
        <v>23433.8453085</v>
      </c>
      <c r="L60" s="56">
        <f t="shared" si="24"/>
        <v>25777.229839350002</v>
      </c>
    </row>
    <row r="61" spans="1:15" x14ac:dyDescent="0.15">
      <c r="A61" s="19"/>
      <c r="B61" s="57"/>
      <c r="C61" s="58">
        <f>(C60-B60)/B60</f>
        <v>0.17406231224787572</v>
      </c>
      <c r="D61" s="58">
        <f t="shared" ref="D61:G61" si="25">(D60-C60)/C60</f>
        <v>-0.24899480956210249</v>
      </c>
      <c r="E61" s="58">
        <f t="shared" si="25"/>
        <v>0.31169084006619291</v>
      </c>
      <c r="F61" s="58">
        <f t="shared" si="25"/>
        <v>-0.11346938775510204</v>
      </c>
      <c r="G61" s="58">
        <f t="shared" si="25"/>
        <v>0.28168424577264356</v>
      </c>
      <c r="H61" s="21">
        <v>0.15</v>
      </c>
      <c r="I61" s="21">
        <v>0.09</v>
      </c>
      <c r="J61" s="21">
        <v>0.1</v>
      </c>
      <c r="K61" s="21">
        <v>0.11</v>
      </c>
      <c r="L61" s="21">
        <v>0.1</v>
      </c>
    </row>
    <row r="62" spans="1:15" x14ac:dyDescent="0.15">
      <c r="A62" s="5"/>
      <c r="B62" s="51"/>
      <c r="C62" s="51"/>
      <c r="D62" s="51"/>
      <c r="E62" s="51"/>
      <c r="F62" s="51"/>
      <c r="G62" s="51"/>
      <c r="H62" s="51"/>
      <c r="I62" s="27"/>
      <c r="J62" s="27"/>
      <c r="K62" s="27"/>
      <c r="L62" s="27"/>
    </row>
    <row r="63" spans="1:15" x14ac:dyDescent="0.15">
      <c r="A63" s="15" t="s">
        <v>40</v>
      </c>
      <c r="B63" s="45">
        <v>-2798</v>
      </c>
      <c r="C63" s="45">
        <v>-6317</v>
      </c>
      <c r="D63" s="45">
        <v>-12270</v>
      </c>
      <c r="E63" s="45">
        <v>5519</v>
      </c>
      <c r="F63" s="45">
        <v>823</v>
      </c>
      <c r="G63" s="45">
        <v>-2671</v>
      </c>
      <c r="H63" s="45">
        <v>0</v>
      </c>
      <c r="I63" s="27">
        <v>0</v>
      </c>
      <c r="J63" s="27">
        <v>0</v>
      </c>
      <c r="K63" s="27">
        <v>0</v>
      </c>
      <c r="L63" s="27">
        <v>0</v>
      </c>
    </row>
    <row r="64" spans="1:15" x14ac:dyDescent="0.15">
      <c r="A64" s="15" t="s">
        <v>41</v>
      </c>
      <c r="B64" s="45">
        <v>10794</v>
      </c>
      <c r="C64" s="45">
        <v>12991</v>
      </c>
      <c r="D64" s="45">
        <v>15376</v>
      </c>
      <c r="E64" s="45">
        <v>19362</v>
      </c>
      <c r="F64" s="45">
        <v>22460</v>
      </c>
      <c r="G64" s="45">
        <v>22785</v>
      </c>
      <c r="H64" s="45">
        <f>G64*(1+H65)</f>
        <v>25291.350000000002</v>
      </c>
      <c r="I64" s="45">
        <f t="shared" ref="I64:L64" si="26">H64*(1+I65)</f>
        <v>27820.485000000004</v>
      </c>
      <c r="J64" s="45">
        <f t="shared" si="26"/>
        <v>30324.328650000007</v>
      </c>
      <c r="K64" s="45">
        <f t="shared" si="26"/>
        <v>33053.518228500012</v>
      </c>
      <c r="L64" s="45">
        <f t="shared" si="26"/>
        <v>36028.334869065016</v>
      </c>
    </row>
    <row r="65" spans="1:12" x14ac:dyDescent="0.15">
      <c r="A65" s="59"/>
      <c r="B65" s="21"/>
      <c r="C65" s="21">
        <f>(C64-B64)/B64</f>
        <v>0.20353900314989809</v>
      </c>
      <c r="D65" s="21">
        <f t="shared" ref="D65:G65" si="27">(D64-C64)/C64</f>
        <v>0.18358863828804556</v>
      </c>
      <c r="E65" s="21">
        <f t="shared" si="27"/>
        <v>0.25923517169614985</v>
      </c>
      <c r="F65" s="21">
        <f t="shared" si="27"/>
        <v>0.16000413180456563</v>
      </c>
      <c r="G65" s="21">
        <f t="shared" si="27"/>
        <v>1.4470169189670526E-2</v>
      </c>
      <c r="H65" s="21">
        <v>0.11</v>
      </c>
      <c r="I65" s="37">
        <v>0.1</v>
      </c>
      <c r="J65" s="37">
        <v>0.09</v>
      </c>
      <c r="K65" s="37">
        <v>0.09</v>
      </c>
      <c r="L65" s="37">
        <v>0.09</v>
      </c>
    </row>
    <row r="66" spans="1:12" x14ac:dyDescent="0.15">
      <c r="A66" s="15" t="s">
        <v>42</v>
      </c>
      <c r="B66" s="45">
        <v>-419</v>
      </c>
      <c r="C66" s="45">
        <v>2657</v>
      </c>
      <c r="D66" s="45">
        <v>3763</v>
      </c>
      <c r="E66" s="45">
        <v>-4598</v>
      </c>
      <c r="F66" s="45">
        <v>-3433</v>
      </c>
      <c r="G66" s="45">
        <v>-1838</v>
      </c>
      <c r="H66" s="45"/>
      <c r="I66" s="27"/>
      <c r="J66" s="27"/>
      <c r="K66" s="27"/>
      <c r="L66" s="27"/>
    </row>
    <row r="67" spans="1:12" x14ac:dyDescent="0.15">
      <c r="A67" s="15" t="s">
        <v>43</v>
      </c>
      <c r="B67" s="45">
        <v>-4340</v>
      </c>
      <c r="C67" s="45">
        <v>-6524</v>
      </c>
      <c r="D67" s="45">
        <v>-9095</v>
      </c>
      <c r="E67" s="45">
        <v>-2317</v>
      </c>
      <c r="F67" s="45">
        <v>-7833</v>
      </c>
      <c r="G67" s="45">
        <v>-5891</v>
      </c>
      <c r="H67" s="45">
        <v>-6000</v>
      </c>
      <c r="I67" s="45">
        <v>-7500</v>
      </c>
      <c r="J67" s="45">
        <v>-8000</v>
      </c>
      <c r="K67" s="45">
        <v>-8000</v>
      </c>
      <c r="L67" s="45">
        <v>-8000</v>
      </c>
    </row>
    <row r="68" spans="1:12" x14ac:dyDescent="0.15">
      <c r="A68" s="15" t="s">
        <v>44</v>
      </c>
      <c r="B68" s="45">
        <v>428</v>
      </c>
      <c r="C68" s="45">
        <v>694</v>
      </c>
      <c r="D68" s="45">
        <v>283</v>
      </c>
      <c r="E68" s="45">
        <v>707</v>
      </c>
      <c r="F68" s="45">
        <v>664</v>
      </c>
      <c r="G68" s="45">
        <v>359</v>
      </c>
      <c r="H68" s="45">
        <v>500</v>
      </c>
      <c r="I68" s="45">
        <v>500</v>
      </c>
      <c r="J68" s="45">
        <v>500</v>
      </c>
      <c r="K68" s="45">
        <v>500</v>
      </c>
      <c r="L68" s="45">
        <v>500</v>
      </c>
    </row>
    <row r="69" spans="1:12" x14ac:dyDescent="0.15">
      <c r="A69" s="15" t="s">
        <v>45</v>
      </c>
      <c r="B69" s="45">
        <v>37</v>
      </c>
      <c r="C69" s="45">
        <v>635</v>
      </c>
      <c r="D69" s="45">
        <v>774</v>
      </c>
      <c r="E69" s="45">
        <v>367</v>
      </c>
      <c r="F69" s="45">
        <v>525</v>
      </c>
      <c r="G69" s="45">
        <v>1043</v>
      </c>
      <c r="H69" s="45">
        <v>500</v>
      </c>
      <c r="I69" s="45">
        <v>500</v>
      </c>
      <c r="J69" s="45">
        <v>500</v>
      </c>
      <c r="K69" s="45">
        <v>500</v>
      </c>
      <c r="L69" s="45">
        <v>500</v>
      </c>
    </row>
    <row r="70" spans="1:12" x14ac:dyDescent="0.15">
      <c r="A70" s="15" t="s">
        <v>46</v>
      </c>
      <c r="B70" s="45">
        <v>-3128</v>
      </c>
      <c r="C70" s="45">
        <v>1209</v>
      </c>
      <c r="D70" s="45">
        <v>-625</v>
      </c>
      <c r="E70" s="45">
        <v>584</v>
      </c>
      <c r="F70" s="45">
        <v>523</v>
      </c>
      <c r="G70" s="45">
        <v>-2418</v>
      </c>
      <c r="H70" s="45">
        <v>0</v>
      </c>
      <c r="I70" s="27">
        <v>0</v>
      </c>
      <c r="J70" s="27">
        <v>0</v>
      </c>
      <c r="K70" s="27">
        <v>0</v>
      </c>
      <c r="L70" s="27">
        <v>0</v>
      </c>
    </row>
    <row r="71" spans="1:12" x14ac:dyDescent="0.15">
      <c r="A71" s="15" t="s">
        <v>47</v>
      </c>
      <c r="B71" s="45">
        <v>7822</v>
      </c>
      <c r="C71" s="45">
        <v>5813</v>
      </c>
      <c r="D71" s="45">
        <v>7140</v>
      </c>
      <c r="E71" s="45">
        <v>-1576</v>
      </c>
      <c r="F71" s="45">
        <v>2276</v>
      </c>
      <c r="G71" s="45">
        <v>-1499</v>
      </c>
      <c r="H71" s="45">
        <v>-1200</v>
      </c>
      <c r="I71" s="27">
        <v>-1300</v>
      </c>
      <c r="J71" s="27">
        <v>-1400</v>
      </c>
      <c r="K71" s="27">
        <v>-1400</v>
      </c>
      <c r="L71" s="27">
        <v>-1300</v>
      </c>
    </row>
    <row r="72" spans="1:12" x14ac:dyDescent="0.15">
      <c r="A72" s="15" t="s">
        <v>48</v>
      </c>
      <c r="B72" s="45">
        <f>SUM(B66:B71)</f>
        <v>400</v>
      </c>
      <c r="C72" s="45">
        <f t="shared" ref="C72:L72" si="28">SUM(C66:C71)</f>
        <v>4484</v>
      </c>
      <c r="D72" s="45">
        <f t="shared" si="28"/>
        <v>2240</v>
      </c>
      <c r="E72" s="45">
        <f t="shared" si="28"/>
        <v>-6833</v>
      </c>
      <c r="F72" s="45">
        <f t="shared" si="28"/>
        <v>-7278</v>
      </c>
      <c r="G72" s="45">
        <f t="shared" si="28"/>
        <v>-10244</v>
      </c>
      <c r="H72" s="45">
        <f t="shared" si="28"/>
        <v>-6200</v>
      </c>
      <c r="I72" s="45">
        <f t="shared" si="28"/>
        <v>-7800</v>
      </c>
      <c r="J72" s="45">
        <f t="shared" si="28"/>
        <v>-8400</v>
      </c>
      <c r="K72" s="45">
        <f t="shared" si="28"/>
        <v>-8400</v>
      </c>
      <c r="L72" s="45">
        <f t="shared" si="28"/>
        <v>-8300</v>
      </c>
    </row>
    <row r="73" spans="1:12" x14ac:dyDescent="0.15">
      <c r="A73" s="5" t="s">
        <v>49</v>
      </c>
      <c r="B73" s="56">
        <v>54520</v>
      </c>
      <c r="C73" s="56">
        <v>65124</v>
      </c>
      <c r="D73" s="56">
        <v>91652</v>
      </c>
      <c r="E73" s="56">
        <v>91495</v>
      </c>
      <c r="F73" s="56">
        <v>101746</v>
      </c>
      <c r="G73" s="56">
        <v>125299</v>
      </c>
      <c r="H73" s="56">
        <f>H57+H60+H64+H63+H72</f>
        <v>145936.71224999998</v>
      </c>
      <c r="I73" s="56">
        <f>I57+I60+I64+I63+I72</f>
        <v>159270.52876200003</v>
      </c>
      <c r="J73" s="56">
        <f>J57+J60+J64+J63+J72</f>
        <v>178443.44663360002</v>
      </c>
      <c r="K73" s="56">
        <f>K57+K60+K64+K63+K72</f>
        <v>201699.39048220078</v>
      </c>
      <c r="L73" s="56">
        <f>L57+L60+L64+L63+L72</f>
        <v>224872.92525894148</v>
      </c>
    </row>
    <row r="74" spans="1:12" x14ac:dyDescent="0.15">
      <c r="A74" s="15"/>
      <c r="B74" s="26"/>
      <c r="C74" s="26"/>
      <c r="D74" s="26"/>
      <c r="E74" s="26"/>
      <c r="F74" s="26"/>
      <c r="G74" s="26"/>
      <c r="H74" s="26"/>
      <c r="I74" s="27"/>
      <c r="J74" s="27"/>
      <c r="K74" s="27"/>
      <c r="L74" s="27"/>
    </row>
    <row r="75" spans="1:12" x14ac:dyDescent="0.15">
      <c r="A75" s="15" t="s">
        <v>50</v>
      </c>
      <c r="B75" s="45">
        <v>-23548</v>
      </c>
      <c r="C75" s="45">
        <v>-22281</v>
      </c>
      <c r="D75" s="45">
        <v>-24640</v>
      </c>
      <c r="E75" s="45">
        <v>-31485</v>
      </c>
      <c r="F75" s="45">
        <v>-32251</v>
      </c>
      <c r="G75" s="45">
        <v>-52535</v>
      </c>
      <c r="H75" s="45">
        <f>G75*(1+H76)</f>
        <v>-74599.7</v>
      </c>
      <c r="I75" s="45">
        <f t="shared" ref="I75:L75" si="29">H75*(1+I76)</f>
        <v>-81313.67300000001</v>
      </c>
      <c r="J75" s="45">
        <f t="shared" si="29"/>
        <v>-89445.040300000022</v>
      </c>
      <c r="K75" s="45">
        <f t="shared" si="29"/>
        <v>-98389.544330000033</v>
      </c>
      <c r="L75" s="45">
        <f t="shared" si="29"/>
        <v>-107244.60331970005</v>
      </c>
    </row>
    <row r="76" spans="1:12" s="14" customFormat="1" x14ac:dyDescent="0.15">
      <c r="A76" s="25"/>
      <c r="B76" s="60"/>
      <c r="C76" s="10">
        <f>(C75-B75)/B75</f>
        <v>-5.3804994054696791E-2</v>
      </c>
      <c r="D76" s="10">
        <f t="shared" ref="D76:G76" si="30">(D75-C75)/C75</f>
        <v>0.10587496072887213</v>
      </c>
      <c r="E76" s="10">
        <f t="shared" si="30"/>
        <v>0.27780032467532467</v>
      </c>
      <c r="F76" s="10">
        <f t="shared" si="30"/>
        <v>2.4329045577259012E-2</v>
      </c>
      <c r="G76" s="10">
        <f t="shared" si="30"/>
        <v>0.62894173824067467</v>
      </c>
      <c r="H76" s="11">
        <v>0.42</v>
      </c>
      <c r="I76" s="11">
        <v>0.09</v>
      </c>
      <c r="J76" s="11">
        <v>0.1</v>
      </c>
      <c r="K76" s="11">
        <v>0.1</v>
      </c>
      <c r="L76" s="11">
        <v>0.09</v>
      </c>
    </row>
    <row r="77" spans="1:12" x14ac:dyDescent="0.1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s="63" customFormat="1" x14ac:dyDescent="0.15">
      <c r="A78" s="61" t="s">
        <v>51</v>
      </c>
      <c r="B78" s="62">
        <f>B73+B75</f>
        <v>30972</v>
      </c>
      <c r="C78" s="62">
        <f t="shared" ref="C78:L78" si="31">C73+C75</f>
        <v>42843</v>
      </c>
      <c r="D78" s="62">
        <f t="shared" si="31"/>
        <v>67012</v>
      </c>
      <c r="E78" s="62">
        <f t="shared" si="31"/>
        <v>60010</v>
      </c>
      <c r="F78" s="62">
        <f t="shared" si="31"/>
        <v>69495</v>
      </c>
      <c r="G78" s="62">
        <f t="shared" si="31"/>
        <v>72764</v>
      </c>
      <c r="H78" s="62">
        <f t="shared" si="31"/>
        <v>71337.012249999985</v>
      </c>
      <c r="I78" s="62">
        <f t="shared" si="31"/>
        <v>77956.855762000021</v>
      </c>
      <c r="J78" s="62">
        <f t="shared" si="31"/>
        <v>88998.406333599996</v>
      </c>
      <c r="K78" s="62">
        <f t="shared" si="31"/>
        <v>103309.84615220074</v>
      </c>
      <c r="L78" s="62">
        <f t="shared" si="31"/>
        <v>117628.32193924143</v>
      </c>
    </row>
    <row r="79" spans="1:12" x14ac:dyDescent="0.15">
      <c r="A79" s="63" t="s">
        <v>52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45">
        <v>7363</v>
      </c>
      <c r="H79" s="52">
        <f>H80*H48</f>
        <v>8192.8284187499976</v>
      </c>
      <c r="I79" s="52">
        <f>I80*I48</f>
        <v>9004.3278946500013</v>
      </c>
      <c r="J79" s="52">
        <f>J80*J48</f>
        <v>10155.56592252</v>
      </c>
      <c r="K79" s="52">
        <f>K80*K48</f>
        <v>11520.902020890058</v>
      </c>
      <c r="L79" s="52">
        <f>L80*L48</f>
        <v>12852.552041289486</v>
      </c>
    </row>
    <row r="80" spans="1:12" x14ac:dyDescent="0.15">
      <c r="A80" s="63" t="s">
        <v>53</v>
      </c>
      <c r="B80" s="27"/>
      <c r="C80" s="27"/>
      <c r="D80" s="27"/>
      <c r="E80" s="27"/>
      <c r="F80" s="27"/>
      <c r="G80" s="64">
        <f>G79/G48</f>
        <v>7.3543219001578133E-2</v>
      </c>
      <c r="H80" s="64">
        <v>7.4999999999999997E-2</v>
      </c>
      <c r="I80" s="64">
        <v>7.4999999999999997E-2</v>
      </c>
      <c r="J80" s="64">
        <v>7.4999999999999997E-2</v>
      </c>
      <c r="K80" s="64">
        <v>7.4999999999999997E-2</v>
      </c>
      <c r="L80" s="64">
        <v>7.4999999999999997E-2</v>
      </c>
    </row>
    <row r="81" spans="1:12" x14ac:dyDescent="0.15">
      <c r="A81" s="63" t="s">
        <v>54</v>
      </c>
      <c r="B81" s="65">
        <v>18396</v>
      </c>
      <c r="C81" s="65">
        <v>31149</v>
      </c>
      <c r="D81" s="65">
        <v>50274</v>
      </c>
      <c r="E81" s="65">
        <v>59296</v>
      </c>
      <c r="F81" s="65">
        <v>61504</v>
      </c>
      <c r="G81" s="65">
        <v>62222</v>
      </c>
      <c r="H81" s="93">
        <f>H82*H48</f>
        <v>64450.250227499986</v>
      </c>
      <c r="I81" s="93">
        <f>I82*I48</f>
        <v>69633.469051960012</v>
      </c>
      <c r="J81" s="93">
        <f>J82*J48</f>
        <v>78536.376467487993</v>
      </c>
      <c r="K81" s="93">
        <f>K82*K48</f>
        <v>89094.975628216445</v>
      </c>
      <c r="L81" s="93">
        <f>L82*L48</f>
        <v>99393.06911930535</v>
      </c>
    </row>
    <row r="82" spans="1:12" x14ac:dyDescent="0.15">
      <c r="A82" s="5" t="s">
        <v>55</v>
      </c>
      <c r="B82" s="66">
        <f t="shared" ref="B82:G82" si="32">B81/B48</f>
        <v>0.53565500975453517</v>
      </c>
      <c r="C82" s="66">
        <f t="shared" si="32"/>
        <v>0.77352305743872463</v>
      </c>
      <c r="D82" s="66">
        <f t="shared" si="32"/>
        <v>0.6612128944011153</v>
      </c>
      <c r="E82" s="66">
        <f t="shared" si="32"/>
        <v>0.98872807310078037</v>
      </c>
      <c r="F82" s="66">
        <f t="shared" si="32"/>
        <v>0.83344400027102106</v>
      </c>
      <c r="G82" s="66">
        <f t="shared" si="32"/>
        <v>0.62148664575800561</v>
      </c>
      <c r="H82" s="67">
        <v>0.59</v>
      </c>
      <c r="I82" s="67">
        <v>0.57999999999999996</v>
      </c>
      <c r="J82" s="67">
        <v>0.57999999999999996</v>
      </c>
      <c r="K82" s="67">
        <v>0.57999999999999996</v>
      </c>
      <c r="L82" s="67">
        <v>0.57999999999999996</v>
      </c>
    </row>
    <row r="83" spans="1:12" s="63" customFormat="1" x14ac:dyDescent="0.15">
      <c r="A83" s="48" t="s">
        <v>56</v>
      </c>
      <c r="B83" s="68">
        <f t="shared" ref="B83:L83" si="33">B81+B79-B64</f>
        <v>7602</v>
      </c>
      <c r="C83" s="68">
        <f t="shared" si="33"/>
        <v>18158</v>
      </c>
      <c r="D83" s="68">
        <f t="shared" si="33"/>
        <v>34898</v>
      </c>
      <c r="E83" s="68">
        <f t="shared" si="33"/>
        <v>39934</v>
      </c>
      <c r="F83" s="68">
        <f t="shared" si="33"/>
        <v>39044</v>
      </c>
      <c r="G83" s="68">
        <f t="shared" si="33"/>
        <v>46800</v>
      </c>
      <c r="H83" s="68">
        <f t="shared" si="33"/>
        <v>47351.728646249976</v>
      </c>
      <c r="I83" s="68">
        <f>I81+I79-I64</f>
        <v>50817.311946610018</v>
      </c>
      <c r="J83" s="68">
        <f t="shared" si="33"/>
        <v>58367.613740007975</v>
      </c>
      <c r="K83" s="68">
        <f t="shared" si="33"/>
        <v>67562.359420606488</v>
      </c>
      <c r="L83" s="68">
        <f t="shared" si="33"/>
        <v>76217.286291529817</v>
      </c>
    </row>
    <row r="84" spans="1:12" x14ac:dyDescent="0.15">
      <c r="A84" s="15"/>
      <c r="B84" s="69"/>
      <c r="C84" s="69"/>
      <c r="D84" s="69"/>
      <c r="E84" s="69"/>
      <c r="F84" s="69"/>
      <c r="G84" s="69"/>
      <c r="H84" s="70">
        <f>H83/$B$89</f>
        <v>2.2429130984256168E-2</v>
      </c>
      <c r="I84" s="70">
        <f>I83/$B$89</f>
        <v>2.407067658360108E-2</v>
      </c>
      <c r="J84" s="70">
        <f>J83/$B$89</f>
        <v>2.7647034041634422E-2</v>
      </c>
      <c r="K84" s="70">
        <f>K83/$B$89</f>
        <v>3.2002316544154003E-2</v>
      </c>
      <c r="L84" s="70">
        <f>L83/$B$89</f>
        <v>3.6101902641576679E-2</v>
      </c>
    </row>
    <row r="85" spans="1:12" x14ac:dyDescent="0.15">
      <c r="A85" s="15"/>
      <c r="B85" s="69"/>
      <c r="C85" s="69"/>
      <c r="D85" s="69"/>
      <c r="E85" s="69"/>
      <c r="F85" s="69"/>
      <c r="G85" s="69"/>
      <c r="H85" s="70"/>
      <c r="I85" s="70"/>
      <c r="J85" s="70"/>
      <c r="K85" s="70"/>
      <c r="L85" s="70"/>
    </row>
    <row r="86" spans="1:12" x14ac:dyDescent="0.15">
      <c r="A86" s="15" t="s">
        <v>62</v>
      </c>
      <c r="B86" s="71">
        <f>B89</f>
        <v>2111170.9</v>
      </c>
      <c r="C86" s="26"/>
      <c r="D86" s="26"/>
      <c r="E86" s="26"/>
      <c r="F86" s="26"/>
      <c r="G86" s="26"/>
      <c r="H86" s="27"/>
      <c r="I86" s="27"/>
      <c r="J86" s="27"/>
      <c r="K86" s="27"/>
      <c r="L86" s="27"/>
    </row>
    <row r="87" spans="1:12" x14ac:dyDescent="0.15">
      <c r="A87" s="15" t="s">
        <v>61</v>
      </c>
      <c r="B87" s="72">
        <f>L51*L48</f>
        <v>3941449.2926621088</v>
      </c>
      <c r="C87" s="26"/>
      <c r="D87" s="26"/>
      <c r="E87" s="26"/>
      <c r="F87" s="26"/>
      <c r="G87" s="26"/>
      <c r="H87" s="27"/>
      <c r="I87" s="27"/>
      <c r="J87" s="27"/>
      <c r="K87" s="27"/>
      <c r="L87" s="27"/>
    </row>
    <row r="88" spans="1:12" hidden="1" x14ac:dyDescent="0.15">
      <c r="A88" s="15" t="s">
        <v>57</v>
      </c>
      <c r="B88" s="72">
        <f>(H79+I79+J79+K79+L79)+(0.7*H48)+(0.7*I48)+(0.7*J48)+(0.7*K48)+(0.7*L48)-(H64-I64-J64-K64-L64)</f>
        <v>636439.13849459367</v>
      </c>
      <c r="C88" s="73">
        <v>136694</v>
      </c>
      <c r="D88" s="73">
        <v>139649</v>
      </c>
      <c r="E88" s="73">
        <v>113762</v>
      </c>
      <c r="F88" s="73">
        <v>110916</v>
      </c>
      <c r="G88" s="73">
        <v>95657</v>
      </c>
      <c r="H88" s="74"/>
      <c r="I88" s="74"/>
      <c r="J88" s="74"/>
      <c r="K88" s="74"/>
      <c r="L88" s="74"/>
    </row>
    <row r="89" spans="1:12" hidden="1" x14ac:dyDescent="0.15">
      <c r="A89" s="15" t="s">
        <v>58</v>
      </c>
      <c r="B89" s="75">
        <v>2111170.9</v>
      </c>
      <c r="C89" s="76">
        <f>C34/C88</f>
        <v>1.2656005384288996E-2</v>
      </c>
      <c r="D89" s="76">
        <f>D34/D88</f>
        <v>8.2564142958417176E-3</v>
      </c>
      <c r="E89" s="76">
        <f>E34/E88</f>
        <v>1.5971941421564318E-2</v>
      </c>
      <c r="F89" s="76">
        <f>F34/F88</f>
        <v>3.2069313714883335E-2</v>
      </c>
      <c r="G89" s="76">
        <f>G34/G88</f>
        <v>4.4053231859665261E-2</v>
      </c>
      <c r="H89" s="77">
        <v>0.04</v>
      </c>
      <c r="I89" s="77">
        <v>0.03</v>
      </c>
      <c r="J89" s="78">
        <v>2.5000000000000001E-2</v>
      </c>
      <c r="K89" s="78">
        <v>2.5000000000000001E-2</v>
      </c>
      <c r="L89" s="78">
        <v>2.5000000000000001E-2</v>
      </c>
    </row>
    <row r="90" spans="1:12" x14ac:dyDescent="0.15">
      <c r="A90" s="15" t="s">
        <v>59</v>
      </c>
      <c r="B90" s="79">
        <f>B87+B88</f>
        <v>4577888.4311567023</v>
      </c>
      <c r="C90" s="26"/>
      <c r="D90" s="26"/>
      <c r="E90" s="26"/>
      <c r="F90" s="26"/>
      <c r="G90" s="26"/>
      <c r="H90" s="27"/>
      <c r="I90" s="27"/>
      <c r="J90" s="27"/>
      <c r="K90" s="27"/>
      <c r="L90" s="27"/>
    </row>
    <row r="91" spans="1:12" x14ac:dyDescent="0.15">
      <c r="A91" s="15" t="s">
        <v>63</v>
      </c>
      <c r="B91" s="80">
        <f>(B90-B86)/B86</f>
        <v>1.1684120556780613</v>
      </c>
      <c r="C91" s="81"/>
      <c r="D91" s="81"/>
      <c r="E91" s="81"/>
      <c r="F91" s="81"/>
      <c r="G91" s="81"/>
      <c r="H91" s="27"/>
      <c r="I91" s="27"/>
      <c r="J91" s="27"/>
      <c r="K91" s="27"/>
      <c r="L91" s="27"/>
    </row>
    <row r="92" spans="1:12" x14ac:dyDescent="0.15">
      <c r="A92" s="15" t="s">
        <v>60</v>
      </c>
      <c r="B92" s="82">
        <f>(B90/B86)^(1/5)-1</f>
        <v>0.16742331535000532</v>
      </c>
      <c r="C92" s="83"/>
      <c r="D92" s="83"/>
      <c r="E92" s="83"/>
      <c r="F92" s="83"/>
      <c r="G92" s="83"/>
      <c r="H92" s="27"/>
      <c r="I92" s="27"/>
      <c r="J92" s="27"/>
      <c r="K92" s="27"/>
      <c r="L92" s="27"/>
    </row>
    <row r="94" spans="1:12" x14ac:dyDescent="0.15">
      <c r="A94" s="15"/>
      <c r="B94" s="45"/>
      <c r="C94" s="45"/>
      <c r="D94" s="45"/>
      <c r="E94" s="45"/>
      <c r="F94" s="45"/>
      <c r="G94" s="45"/>
    </row>
    <row r="95" spans="1:12" x14ac:dyDescent="0.15">
      <c r="A95" s="15"/>
      <c r="B95" s="15"/>
      <c r="C95" s="15"/>
      <c r="D95" s="15"/>
      <c r="E95" s="15"/>
      <c r="F95" s="15"/>
      <c r="G95" s="15"/>
    </row>
    <row r="96" spans="1:12" x14ac:dyDescent="0.15">
      <c r="C96" s="84"/>
      <c r="D96" s="84"/>
      <c r="E96" s="84"/>
      <c r="F96" s="84"/>
      <c r="G96" s="84"/>
    </row>
    <row r="97" spans="1:7" x14ac:dyDescent="0.15">
      <c r="C97" s="84"/>
      <c r="D97" s="84"/>
      <c r="E97" s="84"/>
      <c r="F97" s="84"/>
      <c r="G97" s="84"/>
    </row>
    <row r="98" spans="1:7" x14ac:dyDescent="0.15">
      <c r="C98" s="83"/>
      <c r="D98" s="83"/>
      <c r="E98" s="83"/>
      <c r="F98" s="83"/>
      <c r="G98" s="83"/>
    </row>
    <row r="99" spans="1:7" x14ac:dyDescent="0.15">
      <c r="C99" s="15"/>
      <c r="D99" s="15"/>
      <c r="E99" s="15"/>
      <c r="F99" s="15"/>
      <c r="G99" s="15"/>
    </row>
    <row r="100" spans="1:7" x14ac:dyDescent="0.15">
      <c r="C100" s="83"/>
      <c r="D100" s="83"/>
      <c r="E100" s="83"/>
      <c r="F100" s="83"/>
      <c r="G100" s="84"/>
    </row>
    <row r="101" spans="1:7" x14ac:dyDescent="0.15">
      <c r="C101" s="15"/>
      <c r="D101" s="15"/>
      <c r="E101" s="15"/>
      <c r="F101" s="15"/>
      <c r="G101" s="15"/>
    </row>
    <row r="102" spans="1:7" x14ac:dyDescent="0.15">
      <c r="A102" s="15"/>
      <c r="B102" s="85"/>
      <c r="C102" s="85"/>
      <c r="D102" s="85"/>
      <c r="E102" s="85"/>
      <c r="F102" s="85"/>
      <c r="G102" s="85"/>
    </row>
    <row r="103" spans="1:7" x14ac:dyDescent="0.15">
      <c r="A103" s="15"/>
      <c r="B103" s="15"/>
      <c r="C103" s="15"/>
      <c r="D103" s="15"/>
      <c r="E103" s="15"/>
      <c r="F103" s="15"/>
      <c r="G103" s="15"/>
    </row>
    <row r="104" spans="1:7" x14ac:dyDescent="0.15">
      <c r="A104" s="5"/>
      <c r="B104" s="15"/>
      <c r="C104" s="15"/>
      <c r="D104" s="15"/>
      <c r="E104" s="15"/>
      <c r="F104" s="15"/>
      <c r="G104" s="15"/>
    </row>
    <row r="105" spans="1:7" x14ac:dyDescent="0.15">
      <c r="A105" s="15"/>
      <c r="B105" s="45"/>
      <c r="C105" s="45"/>
      <c r="D105" s="45"/>
      <c r="E105" s="45"/>
      <c r="F105" s="45"/>
      <c r="G105" s="45"/>
    </row>
    <row r="106" spans="1:7" x14ac:dyDescent="0.15">
      <c r="A106" s="15"/>
      <c r="B106" s="45"/>
      <c r="C106" s="45"/>
      <c r="D106" s="45"/>
      <c r="E106" s="45"/>
      <c r="F106" s="45"/>
      <c r="G106" s="45"/>
    </row>
    <row r="107" spans="1:7" x14ac:dyDescent="0.15">
      <c r="A107" s="15"/>
      <c r="B107" s="45"/>
      <c r="C107" s="45"/>
      <c r="D107" s="45"/>
      <c r="E107" s="45"/>
      <c r="F107" s="45"/>
      <c r="G107" s="45"/>
    </row>
    <row r="108" spans="1:7" x14ac:dyDescent="0.15">
      <c r="A108" s="15"/>
      <c r="B108" s="45"/>
      <c r="C108" s="45"/>
      <c r="D108" s="45"/>
      <c r="E108" s="45"/>
      <c r="F108" s="45"/>
      <c r="G108" s="45"/>
    </row>
    <row r="109" spans="1:7" x14ac:dyDescent="0.15">
      <c r="A109" s="15"/>
      <c r="B109" s="86"/>
      <c r="C109" s="86"/>
      <c r="D109" s="86"/>
      <c r="E109" s="86"/>
      <c r="F109" s="86"/>
      <c r="G109" s="86"/>
    </row>
    <row r="110" spans="1:7" x14ac:dyDescent="0.15">
      <c r="A110" s="15"/>
      <c r="B110" s="45"/>
      <c r="C110" s="45"/>
      <c r="D110" s="45"/>
      <c r="E110" s="45"/>
      <c r="F110" s="45"/>
      <c r="G110" s="45"/>
    </row>
    <row r="111" spans="1:7" x14ac:dyDescent="0.15">
      <c r="A111" s="15"/>
      <c r="B111" s="45"/>
      <c r="C111" s="45"/>
      <c r="D111" s="45"/>
      <c r="E111" s="45"/>
      <c r="F111" s="45"/>
      <c r="G111" s="45"/>
    </row>
    <row r="112" spans="1:7" x14ac:dyDescent="0.15">
      <c r="A112" s="15"/>
      <c r="B112" s="45"/>
      <c r="C112" s="45"/>
      <c r="D112" s="45"/>
      <c r="E112" s="45"/>
      <c r="F112" s="45"/>
      <c r="G112" s="45"/>
    </row>
    <row r="113" spans="1:7" x14ac:dyDescent="0.15">
      <c r="A113" s="15"/>
      <c r="B113" s="45"/>
      <c r="C113" s="45"/>
      <c r="D113" s="45"/>
      <c r="E113" s="45"/>
      <c r="F113" s="45"/>
      <c r="G113" s="45"/>
    </row>
    <row r="114" spans="1:7" x14ac:dyDescent="0.15">
      <c r="A114" s="15"/>
      <c r="B114" s="45"/>
      <c r="C114" s="45"/>
      <c r="D114" s="45"/>
      <c r="E114" s="45"/>
      <c r="F114" s="45"/>
      <c r="G114" s="45"/>
    </row>
    <row r="115" spans="1:7" x14ac:dyDescent="0.15">
      <c r="A115" s="15"/>
      <c r="B115" s="45"/>
      <c r="C115" s="45"/>
      <c r="D115" s="45"/>
      <c r="E115" s="45"/>
      <c r="F115" s="45"/>
      <c r="G115" s="45"/>
    </row>
    <row r="116" spans="1:7" x14ac:dyDescent="0.15">
      <c r="A116" s="15"/>
      <c r="B116" s="15"/>
      <c r="C116" s="15"/>
      <c r="D116" s="15"/>
      <c r="E116" s="15"/>
      <c r="F116" s="15"/>
      <c r="G116" s="15"/>
    </row>
    <row r="117" spans="1:7" x14ac:dyDescent="0.15">
      <c r="A117" s="15"/>
      <c r="B117" s="45"/>
      <c r="C117" s="45"/>
      <c r="D117" s="45"/>
      <c r="E117" s="45"/>
      <c r="F117" s="45"/>
      <c r="G117" s="45"/>
    </row>
    <row r="118" spans="1:7" x14ac:dyDescent="0.15">
      <c r="A118" s="15"/>
      <c r="B118" s="45"/>
      <c r="C118" s="45"/>
      <c r="D118" s="45"/>
      <c r="E118" s="45"/>
      <c r="F118" s="45"/>
      <c r="G118" s="45"/>
    </row>
    <row r="119" spans="1:7" x14ac:dyDescent="0.15">
      <c r="A119" s="15"/>
      <c r="B119" s="45"/>
      <c r="C119" s="45"/>
      <c r="D119" s="45"/>
      <c r="E119" s="45"/>
      <c r="F119" s="45"/>
      <c r="G119" s="45"/>
    </row>
    <row r="120" spans="1:7" x14ac:dyDescent="0.15">
      <c r="A120" s="15"/>
      <c r="B120" s="87"/>
      <c r="C120" s="87"/>
      <c r="D120" s="87"/>
      <c r="E120" s="87"/>
      <c r="F120" s="87"/>
      <c r="G120" s="87"/>
    </row>
    <row r="121" spans="1:7" x14ac:dyDescent="0.15">
      <c r="A121" s="15"/>
      <c r="B121" s="88"/>
      <c r="C121" s="88"/>
      <c r="D121" s="88"/>
      <c r="E121" s="88"/>
      <c r="F121" s="88"/>
      <c r="G121" s="88"/>
    </row>
    <row r="122" spans="1:7" x14ac:dyDescent="0.15">
      <c r="A122" s="15"/>
      <c r="B122" s="88"/>
      <c r="C122" s="88"/>
      <c r="D122" s="88"/>
      <c r="E122" s="88"/>
      <c r="F122" s="88"/>
      <c r="G122" s="88"/>
    </row>
    <row r="123" spans="1:7" x14ac:dyDescent="0.15">
      <c r="A123" s="15"/>
      <c r="B123" s="15"/>
      <c r="C123" s="15"/>
      <c r="D123" s="15"/>
      <c r="E123" s="15"/>
      <c r="F123" s="15"/>
      <c r="G123" s="15"/>
    </row>
    <row r="124" spans="1:7" x14ac:dyDescent="0.15">
      <c r="A124" s="5"/>
      <c r="B124" s="15"/>
      <c r="C124" s="15"/>
      <c r="D124" s="15"/>
      <c r="E124" s="15"/>
      <c r="F124" s="15"/>
      <c r="G124" s="15"/>
    </row>
    <row r="125" spans="1:7" x14ac:dyDescent="0.15">
      <c r="A125" s="15"/>
      <c r="B125" s="45"/>
      <c r="C125" s="45"/>
      <c r="D125" s="45"/>
      <c r="E125" s="45"/>
      <c r="F125" s="45"/>
      <c r="G125" s="45"/>
    </row>
    <row r="126" spans="1:7" x14ac:dyDescent="0.15">
      <c r="A126" s="15"/>
      <c r="B126" s="45"/>
      <c r="C126" s="45"/>
      <c r="D126" s="45"/>
      <c r="E126" s="45"/>
      <c r="F126" s="45"/>
      <c r="G126" s="45"/>
    </row>
    <row r="127" spans="1:7" x14ac:dyDescent="0.15">
      <c r="A127" s="15"/>
      <c r="B127" s="45"/>
      <c r="C127" s="45"/>
      <c r="D127" s="45"/>
      <c r="E127" s="45"/>
      <c r="F127" s="45"/>
      <c r="G127" s="45"/>
    </row>
    <row r="128" spans="1:7" x14ac:dyDescent="0.15">
      <c r="A128" s="15"/>
      <c r="B128" s="45"/>
      <c r="C128" s="45"/>
      <c r="D128" s="45"/>
      <c r="E128" s="45"/>
      <c r="F128" s="45"/>
      <c r="G128" s="45"/>
    </row>
    <row r="129" spans="1:8" x14ac:dyDescent="0.15">
      <c r="A129" s="15"/>
      <c r="B129" s="45"/>
      <c r="C129" s="45"/>
      <c r="D129" s="45"/>
      <c r="E129" s="45"/>
      <c r="F129" s="45"/>
      <c r="G129" s="45"/>
    </row>
    <row r="130" spans="1:8" x14ac:dyDescent="0.15">
      <c r="A130" s="15"/>
      <c r="B130" s="45"/>
      <c r="C130" s="45"/>
      <c r="D130" s="45"/>
      <c r="E130" s="45"/>
      <c r="F130" s="45"/>
      <c r="G130" s="45"/>
    </row>
    <row r="131" spans="1:8" x14ac:dyDescent="0.15">
      <c r="A131" s="15"/>
      <c r="B131" s="45"/>
      <c r="C131" s="45"/>
      <c r="D131" s="45"/>
      <c r="E131" s="45"/>
      <c r="F131" s="45"/>
      <c r="G131" s="45"/>
    </row>
    <row r="132" spans="1:8" x14ac:dyDescent="0.15">
      <c r="A132" s="15"/>
      <c r="B132" s="15"/>
      <c r="C132" s="15"/>
      <c r="D132" s="15"/>
      <c r="E132" s="15"/>
      <c r="F132" s="15"/>
      <c r="G132" s="15"/>
    </row>
    <row r="133" spans="1:8" x14ac:dyDescent="0.15">
      <c r="A133" s="15"/>
      <c r="B133" s="45"/>
      <c r="C133" s="45"/>
      <c r="D133" s="45"/>
      <c r="E133" s="45"/>
      <c r="F133" s="45"/>
      <c r="G133" s="45"/>
    </row>
    <row r="134" spans="1:8" x14ac:dyDescent="0.15">
      <c r="A134" s="15"/>
      <c r="B134" s="45"/>
      <c r="C134" s="45"/>
      <c r="D134" s="45"/>
      <c r="E134" s="45"/>
      <c r="F134" s="45"/>
      <c r="G134" s="45"/>
    </row>
    <row r="135" spans="1:8" x14ac:dyDescent="0.15">
      <c r="A135" s="15"/>
      <c r="B135" s="45"/>
      <c r="C135" s="45"/>
      <c r="D135" s="45"/>
      <c r="E135" s="45"/>
      <c r="F135" s="45"/>
      <c r="G135" s="45"/>
    </row>
    <row r="136" spans="1:8" x14ac:dyDescent="0.15">
      <c r="A136" s="15"/>
      <c r="B136" s="45"/>
      <c r="C136" s="45"/>
      <c r="D136" s="45"/>
      <c r="E136" s="45"/>
      <c r="F136" s="45"/>
      <c r="G136" s="45"/>
    </row>
    <row r="137" spans="1:8" x14ac:dyDescent="0.15">
      <c r="A137" s="15"/>
      <c r="B137" s="45"/>
      <c r="C137" s="45"/>
      <c r="D137" s="45"/>
      <c r="E137" s="45"/>
      <c r="F137" s="45"/>
      <c r="G137" s="45"/>
    </row>
    <row r="138" spans="1:8" x14ac:dyDescent="0.15">
      <c r="A138" s="5"/>
      <c r="B138" s="51"/>
      <c r="C138" s="51"/>
      <c r="D138" s="51"/>
      <c r="E138" s="51"/>
      <c r="F138" s="51"/>
      <c r="G138" s="51"/>
    </row>
    <row r="139" spans="1:8" x14ac:dyDescent="0.15">
      <c r="A139" s="15"/>
      <c r="B139" s="15"/>
      <c r="C139" s="15"/>
      <c r="D139" s="15"/>
      <c r="E139" s="15"/>
      <c r="F139" s="15"/>
      <c r="G139" s="15"/>
    </row>
    <row r="140" spans="1:8" x14ac:dyDescent="0.15">
      <c r="B140" s="89"/>
      <c r="C140" s="89"/>
      <c r="D140" s="89"/>
      <c r="E140" s="89"/>
      <c r="F140" s="89"/>
      <c r="G140" s="89"/>
      <c r="H140" s="94"/>
    </row>
    <row r="141" spans="1:8" x14ac:dyDescent="0.15">
      <c r="A141" s="91"/>
      <c r="B141" s="92"/>
      <c r="C141" s="92"/>
      <c r="D141" s="92"/>
      <c r="E141" s="92"/>
      <c r="F141" s="92"/>
      <c r="G141" s="92"/>
      <c r="H141" s="94"/>
    </row>
    <row r="142" spans="1:8" x14ac:dyDescent="0.15">
      <c r="A142" s="15"/>
      <c r="B142" s="92"/>
      <c r="C142" s="92"/>
      <c r="D142" s="92"/>
      <c r="E142" s="92"/>
      <c r="F142" s="92"/>
      <c r="G142" s="92"/>
      <c r="H142" s="94"/>
    </row>
    <row r="143" spans="1:8" x14ac:dyDescent="0.15">
      <c r="B143" s="92"/>
      <c r="C143" s="92"/>
      <c r="D143" s="92"/>
      <c r="E143" s="92"/>
      <c r="F143" s="92"/>
      <c r="G143" s="92"/>
      <c r="H143" s="94"/>
    </row>
    <row r="145" spans="1:9" x14ac:dyDescent="0.15">
      <c r="B145" s="92"/>
      <c r="C145" s="92"/>
      <c r="D145" s="92"/>
      <c r="E145" s="92"/>
      <c r="F145" s="92"/>
      <c r="G145" s="92"/>
      <c r="H145" s="94"/>
    </row>
    <row r="146" spans="1:9" x14ac:dyDescent="0.15">
      <c r="B146" s="92"/>
      <c r="C146" s="92"/>
      <c r="D146" s="92"/>
      <c r="E146" s="92"/>
      <c r="F146" s="92"/>
      <c r="G146" s="92"/>
      <c r="H146" s="94"/>
    </row>
    <row r="147" spans="1:9" x14ac:dyDescent="0.15">
      <c r="B147" s="92"/>
      <c r="C147" s="92"/>
      <c r="D147" s="92"/>
      <c r="E147" s="92"/>
      <c r="F147" s="92"/>
      <c r="G147" s="92"/>
      <c r="H147" s="90"/>
    </row>
    <row r="148" spans="1:9" x14ac:dyDescent="0.15">
      <c r="B148" s="92"/>
      <c r="C148" s="92"/>
      <c r="D148" s="92"/>
      <c r="E148" s="92"/>
      <c r="F148" s="92"/>
      <c r="G148" s="92"/>
      <c r="H148" s="92"/>
      <c r="I148" s="94"/>
    </row>
    <row r="149" spans="1:9" x14ac:dyDescent="0.15">
      <c r="B149" s="92"/>
      <c r="C149" s="92"/>
      <c r="D149" s="92"/>
      <c r="E149" s="92"/>
      <c r="F149" s="92"/>
      <c r="G149" s="92"/>
      <c r="H149" s="92"/>
      <c r="I149" s="94"/>
    </row>
    <row r="150" spans="1:9" x14ac:dyDescent="0.15">
      <c r="I150" s="94"/>
    </row>
    <row r="151" spans="1:9" x14ac:dyDescent="0.15">
      <c r="B151" s="92"/>
      <c r="C151" s="92"/>
      <c r="D151" s="92"/>
      <c r="E151" s="92"/>
      <c r="F151" s="92"/>
      <c r="G151" s="92"/>
    </row>
    <row r="152" spans="1:9" x14ac:dyDescent="0.15">
      <c r="B152" s="92"/>
      <c r="C152" s="92"/>
      <c r="D152" s="92"/>
      <c r="E152" s="92"/>
      <c r="F152" s="92"/>
      <c r="G152" s="92"/>
    </row>
    <row r="155" spans="1:9" x14ac:dyDescent="0.15">
      <c r="A155" s="63"/>
    </row>
    <row r="165" spans="1:1" x14ac:dyDescent="0.15">
      <c r="A165" s="63"/>
    </row>
  </sheetData>
  <mergeCells count="3">
    <mergeCell ref="H140:H143"/>
    <mergeCell ref="H145:H146"/>
    <mergeCell ref="I148:I150"/>
  </mergeCells>
  <pageMargins left="0.2" right="0.2" top="0.5" bottom="0.5" header="0.5" footer="0.5"/>
  <pageSetup fitToWidth="0" fitToHeight="0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Alphabet valuation model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dede.eyesan</dc:creator>
  <cp:lastModifiedBy>dede.eyesan</cp:lastModifiedBy>
  <dcterms:created xsi:type="dcterms:W3CDTF">2025-03-10T09:41:18Z</dcterms:created>
  <dcterms:modified xsi:type="dcterms:W3CDTF">2025-05-12T17:50:52Z</dcterms:modified>
</cp:coreProperties>
</file>